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foHcM0UNdrr5kOds7C898a/GTOq9rgWuVMr4E6pJZ5Nyg7zAtdvD3dQXNhSMmF5lyEocFCTd11cqoabL7ljS0g==" workbookSaltValue="8uuQuxx6nCC/6/00za7G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9" i="2"/>
  <c r="M13" i="2"/>
  <c r="N13" i="2"/>
  <c r="C17" i="6"/>
  <c r="AC10" i="11"/>
  <c r="T19" i="8"/>
  <c r="AJ19" i="8"/>
  <c r="S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Y19" i="8"/>
  <c r="B17" i="6"/>
  <c r="F16" i="17"/>
  <c r="AW18" i="21"/>
  <c r="AB19" i="8"/>
  <c r="Z19" i="8"/>
  <c r="H12" i="2"/>
  <c r="H13" i="12"/>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K16" i="12"/>
  <c r="AI19" i="11"/>
  <c r="Y13" i="11"/>
  <c r="F19" i="7"/>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BH20" i="16"/>
  <c r="S20" i="11"/>
  <c r="J20" i="21"/>
  <c r="W20" i="11"/>
  <c r="BK20" i="16"/>
  <c r="BD20" i="16"/>
  <c r="R20" i="21"/>
  <c r="BI20" i="16"/>
  <c r="L20" i="11"/>
  <c r="AP20" i="16"/>
  <c r="AE20" i="21"/>
  <c r="V20" i="20"/>
  <c r="X20" i="16"/>
  <c r="AL20" i="11"/>
  <c r="AM20" i="21"/>
  <c r="G20" i="12"/>
  <c r="Q20" i="17"/>
  <c r="R20" i="16"/>
  <c r="AO20" i="11"/>
  <c r="N20" i="17"/>
  <c r="AC20" i="17"/>
  <c r="AK20" i="11"/>
  <c r="O20" i="11"/>
  <c r="H20" i="12"/>
  <c r="AU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R20" i="16"/>
  <c r="AF20" i="11"/>
  <c r="AB20" i="17"/>
  <c r="X20" i="17"/>
  <c r="J20" i="12"/>
  <c r="K20" i="11"/>
  <c r="BJ20" i="16"/>
  <c r="U20" i="20"/>
  <c r="AD20" i="21"/>
  <c r="J20" i="16"/>
  <c r="T20" i="11"/>
  <c r="AG20" i="11"/>
  <c r="L20" i="17"/>
  <c r="M20" i="16"/>
  <c r="AP20" i="17"/>
  <c r="I20" i="11"/>
  <c r="AT20" i="11"/>
  <c r="AV20" i="17"/>
  <c r="AR20" i="17"/>
  <c r="AW20" i="17"/>
  <c r="BN20" i="16"/>
  <c r="BB20" i="16"/>
  <c r="AN20" i="17"/>
  <c r="Q20" i="21"/>
  <c r="P20" i="21"/>
  <c r="BS20" i="16"/>
  <c r="N20" i="21"/>
  <c r="H20" i="16"/>
  <c r="AK20" i="17"/>
  <c r="AT20" i="20"/>
  <c r="I20" i="16"/>
  <c r="F20" i="17"/>
  <c r="AC20" i="11"/>
  <c r="AA20" i="17"/>
  <c r="BF20" i="16"/>
  <c r="AO20" i="17"/>
  <c r="S20" i="17"/>
  <c r="AW20" i="16"/>
  <c r="AP20" i="21"/>
  <c r="AU20" i="11"/>
  <c r="AA20" i="21"/>
  <c r="BM20" i="16"/>
  <c r="O12" i="11"/>
  <c r="I20" i="12"/>
  <c r="BK19" i="11" l="1"/>
  <c r="BD19" i="8"/>
  <c r="BF19" i="1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<sst xmlns="http://schemas.openxmlformats.org/spreadsheetml/2006/main" count="2102" uniqueCount="918">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</sst>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weU6nPshlSSkua7vktLnGqtgIZGwXYqbzLh8Dxa7D9QJCzf4mV63/R/ryj0qMineMQ3PH/PTw9dKuJmRopG9g==" saltValue="77z+aZWDNoQCubFc8pvd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5</v>
      </c>
      <c r="F10" s="225">
        <f>IF(ISNUMBER(Datos!K10),Datos!K10," - ")</f>
        <v>3</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36.666666666666671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79.234375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1914</v>
      </c>
      <c r="D16" s="224">
        <f>IF(ISNUMBER(IF(D_I="SI",Datos!I16,Datos!I16+Datos!AC16)),IF(D_I="SI",Datos!I16,Datos!I16+Datos!AC16)," - ")</f>
        <v>1914</v>
      </c>
      <c r="E16" s="225">
        <f>IF(ISNUMBER(IF(D_I="SI",Datos!J16,Datos!J16+Datos!AD16)),IF(D_I="SI",Datos!J16,Datos!J16+Datos!AD16)," - ")</f>
        <v>442</v>
      </c>
      <c r="F16" s="225">
        <f>IF(ISNUMBER(IF(D_I="SI",Datos!K16,Datos!K16+Datos!AE16)),IF(D_I="SI",Datos!K16,Datos!K16+Datos!AE16)," - ")</f>
        <v>254</v>
      </c>
      <c r="G16" s="1033" t="str">
        <f>IF(Datos!E16&lt;&gt;"",Datos!E16,Datos!D16)</f>
        <v>04</v>
      </c>
      <c r="H16" s="226">
        <f>IF(ISNUMBER(IF(D_I="SI",Datos!L16,Datos!L16+Datos!AF16)),IF(D_I="SI",Datos!L16,Datos!L16+Datos!AF16)," - ")</f>
        <v>2102</v>
      </c>
      <c r="I16" s="1043" t="str">
        <f>IF(ISNUMBER(Datos!AS16/Datos!BM16),Datos!AS16/Datos!BM16," - ")</f>
        <v xml:space="preserve"> - </v>
      </c>
      <c r="J16" s="1044">
        <f>IF(ISNUMBER(Datos!BY16/Datos!CN16),Datos!BY16/Datos!CN16," - ")</f>
        <v>0</v>
      </c>
      <c r="K16" s="229">
        <f t="shared" si="3"/>
        <v>9.8223615464994779E-2</v>
      </c>
      <c r="L16" s="1024">
        <f>IF(ISNUMBER(NºAsuntos!I16/NºAsuntos!G16),(NºAsuntos!I16/NºAsuntos!G16)*11," - ")</f>
        <v>91.031496062992119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83</v>
      </c>
      <c r="D17" s="224">
        <f>IF(ISNUMBER(IF(D_I="SI",Datos!I17,Datos!I17+Datos!AC17)),IF(D_I="SI",Datos!I17,Datos!I17+Datos!AC17)," - ")</f>
        <v>83</v>
      </c>
      <c r="E17" s="225">
        <f>IF(ISNUMBER(IF(D_I="SI",Datos!J17,Datos!J17+Datos!AD17)),IF(D_I="SI",Datos!J17,Datos!J17+Datos!AD17)," - ")</f>
        <v>27</v>
      </c>
      <c r="F17" s="225">
        <f>IF(ISNUMBER(IF(D_I="SI",Datos!K17,Datos!K17+Datos!AE17)),IF(D_I="SI",Datos!K17,Datos!K17+Datos!AE17)," - ")</f>
        <v>22</v>
      </c>
      <c r="G17" s="1033" t="str">
        <f>IF(Datos!E17&lt;&gt;"",Datos!E17,Datos!D17)</f>
        <v>37</v>
      </c>
      <c r="H17" s="226">
        <f>IF(ISNUMBER(IF(D_I="SI",Datos!L17,Datos!L17+Datos!AF17)),IF(D_I="SI",Datos!L17,Datos!L17+Datos!AF17)," - ")</f>
        <v>88</v>
      </c>
      <c r="I17" s="1043" t="str">
        <f>IF(ISNUMBER(Datos!AS17/Datos!BM17),Datos!AS17/Datos!BM17," - ")</f>
        <v xml:space="preserve"> - </v>
      </c>
      <c r="J17" s="1044" t="str">
        <f>IF(ISNUMBER((Datos!BY17+Datos!BZ17)/Datos!CN17),(Datos!BY17+Datos!BZ17)/Datos!CN17," - ")</f>
        <v xml:space="preserve"> - </v>
      </c>
      <c r="K17" s="229">
        <f t="shared" si="3"/>
        <v>6.0240963855421686E-2</v>
      </c>
      <c r="L17" s="1024">
        <f>IF(ISNUMBER(NºAsuntos!I17/NºAsuntos!G17),(NºAsuntos!I17/NºAsuntos!G17)*11," - ")</f>
        <v>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1997</v>
      </c>
      <c r="D18" s="1048">
        <f>SUBTOTAL(9,D15:D17)</f>
        <v>1997</v>
      </c>
      <c r="E18" s="1049">
        <f>SUBTOTAL(9,E15:E17)</f>
        <v>469</v>
      </c>
      <c r="F18" s="1049">
        <f>SUBTOTAL(9,F15:F17)</f>
        <v>276</v>
      </c>
      <c r="G18" s="1051" t="str">
        <f ca="1">INDIRECT(CONCATENATE("G",ROW()-1))</f>
        <v>37</v>
      </c>
      <c r="H18" s="1052">
        <f ca="1">SUMIF(G$14:G17,G18,H$14:H17)</f>
        <v>88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2005</v>
      </c>
      <c r="D19" s="1070">
        <f>SUBTOTAL(9,D9:D18)</f>
        <v>2005</v>
      </c>
      <c r="E19" s="1071">
        <f>SUBTOTAL(9,E9:E18)</f>
        <v>474</v>
      </c>
      <c r="F19" s="1071">
        <f>SUBTOTAL(9,F9:F18)</f>
        <v>279</v>
      </c>
      <c r="G19" s="1072"/>
      <c r="H19" s="1073">
        <f ca="1">SUMIF(B9:B18,"TOTAL",H9:H18)</f>
        <v>88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C34K36b66ihiABnTA4wj19WwsFwduS82wkXl4HM9tKNvnCtSkeKn5AI4foIFSgjgQ/zaaHnIjvTJRrZMTbfg==" saltValue="s4cNUXOWVIrNzvhv0Dwr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2Xphc07clWPPxpDpPu1OnzU7kn+EyDH2an9ipD/j+b8W2h+4t1P/QUtlQEKsymqclVXjSo6M7A1aCqApFdQA==" saltValue="nb/0yjTNVaWEfLdysdM9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5</v>
      </c>
      <c r="K10" s="180">
        <v>3</v>
      </c>
      <c r="L10" s="180">
        <v>10</v>
      </c>
      <c r="M10" s="180">
        <v>2</v>
      </c>
      <c r="N10" s="180">
        <v>0</v>
      </c>
      <c r="O10" s="180">
        <v>0</v>
      </c>
      <c r="P10" s="180">
        <v>0</v>
      </c>
      <c r="Q10" s="180">
        <v>0</v>
      </c>
      <c r="R10" s="180">
        <v>0</v>
      </c>
      <c r="S10" s="180">
        <v>17</v>
      </c>
      <c r="T10" s="180">
        <v>6</v>
      </c>
      <c r="U10" s="180">
        <v>13</v>
      </c>
      <c r="V10" s="180">
        <v>10</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6</v>
      </c>
      <c r="BA10" s="129">
        <f t="shared" si="0"/>
        <v>13</v>
      </c>
      <c r="BB10" s="129">
        <f t="shared" si="0"/>
        <v>10</v>
      </c>
      <c r="BC10" s="125">
        <f t="shared" si="0"/>
        <v>2</v>
      </c>
      <c r="BD10" s="126">
        <f>IF(ISNUMBER(BA10/AZ10),BA10/AZ10," - ")</f>
        <v>2.1666666666666665</v>
      </c>
      <c r="BE10" s="127">
        <f>IF(ISNUMBER(BB10/BA10),BB10/BA10, " - ")</f>
        <v>0.76923076923076927</v>
      </c>
      <c r="BF10" s="127">
        <f>IF(ISNUMBER(BC10/BA10),BC10/BA10, " - ")</f>
        <v>0.15384615384615385</v>
      </c>
      <c r="BG10" s="195">
        <f>IF(ISNUMBER((AY10+AZ10)/BA10),(AY10+AZ10)/BA10," - ")</f>
        <v>1.7692307692307692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2432</v>
      </c>
      <c r="J12" s="182">
        <v>1124</v>
      </c>
      <c r="K12" s="182">
        <v>410</v>
      </c>
      <c r="L12" s="182">
        <v>3146</v>
      </c>
      <c r="M12" s="182">
        <v>87</v>
      </c>
      <c r="N12" s="182">
        <v>113</v>
      </c>
      <c r="O12" s="180">
        <v>244</v>
      </c>
      <c r="P12" s="182">
        <v>66</v>
      </c>
      <c r="Q12" s="182">
        <v>31</v>
      </c>
      <c r="R12" s="182">
        <v>2314</v>
      </c>
      <c r="S12" s="182">
        <v>1971</v>
      </c>
      <c r="T12" s="182">
        <v>429</v>
      </c>
      <c r="U12" s="182">
        <v>291</v>
      </c>
      <c r="V12" s="182">
        <v>2109</v>
      </c>
      <c r="W12" s="182">
        <v>89</v>
      </c>
      <c r="X12" s="188">
        <v>102</v>
      </c>
      <c r="Y12" s="190">
        <v>89</v>
      </c>
      <c r="Z12" s="180">
        <v>30</v>
      </c>
      <c r="AA12" s="180">
        <v>38</v>
      </c>
      <c r="AB12" s="180">
        <v>81</v>
      </c>
      <c r="AC12" s="182">
        <v>0</v>
      </c>
      <c r="AD12" s="182">
        <v>0</v>
      </c>
      <c r="AE12" s="182">
        <v>0</v>
      </c>
      <c r="AF12" s="188">
        <v>0</v>
      </c>
      <c r="AG12" s="201">
        <v>69</v>
      </c>
      <c r="AH12" s="182">
        <v>12</v>
      </c>
      <c r="AI12" s="182">
        <v>16</v>
      </c>
      <c r="AJ12" s="202">
        <v>65</v>
      </c>
      <c r="AK12" s="181">
        <v>0</v>
      </c>
      <c r="AL12" s="182">
        <v>0</v>
      </c>
      <c r="AM12" s="182">
        <v>0</v>
      </c>
      <c r="AN12" s="188">
        <v>0</v>
      </c>
      <c r="AO12" s="258">
        <v>2</v>
      </c>
      <c r="AP12" s="154">
        <v>2</v>
      </c>
      <c r="AQ12" s="154">
        <v>2</v>
      </c>
      <c r="AR12" s="153">
        <v>2</v>
      </c>
      <c r="AS12" s="339" t="s">
        <v>794</v>
      </c>
      <c r="AT12" s="202"/>
      <c r="AU12" s="201"/>
      <c r="AV12" s="202"/>
      <c r="AW12" s="201"/>
      <c r="AX12" s="202"/>
      <c r="AY12" s="126">
        <f t="shared" si="1"/>
        <v>2040</v>
      </c>
      <c r="AZ12" s="127">
        <f t="shared" si="1"/>
        <v>441</v>
      </c>
      <c r="BA12" s="127">
        <f t="shared" si="1"/>
        <v>307</v>
      </c>
      <c r="BB12" s="127">
        <f t="shared" si="1"/>
        <v>2174</v>
      </c>
      <c r="BC12" s="125">
        <f>IF(ISNUMBER(X12),X12," - ")</f>
        <v>102</v>
      </c>
      <c r="BD12" s="126">
        <f t="shared" si="2"/>
        <v>0.69614512471655332</v>
      </c>
      <c r="BE12" s="127">
        <f t="shared" si="3"/>
        <v>7.0814332247556999</v>
      </c>
      <c r="BF12" s="127">
        <f t="shared" si="4"/>
        <v>0.33224755700325731</v>
      </c>
      <c r="BG12" s="195">
        <f t="shared" si="5"/>
        <v>8.0814332247557008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2440</v>
      </c>
      <c r="J13" s="183">
        <f t="shared" si="6"/>
        <v>1129</v>
      </c>
      <c r="K13" s="183">
        <f t="shared" si="6"/>
        <v>413</v>
      </c>
      <c r="L13" s="183">
        <f t="shared" si="6"/>
        <v>3156</v>
      </c>
      <c r="M13" s="183">
        <f t="shared" si="6"/>
        <v>89</v>
      </c>
      <c r="N13" s="183">
        <f t="shared" si="6"/>
        <v>113</v>
      </c>
      <c r="O13" s="183">
        <f t="shared" si="6"/>
        <v>244</v>
      </c>
      <c r="P13" s="183">
        <f t="shared" si="6"/>
        <v>66</v>
      </c>
      <c r="Q13" s="183">
        <f t="shared" si="6"/>
        <v>31</v>
      </c>
      <c r="R13" s="183">
        <f t="shared" si="6"/>
        <v>2314</v>
      </c>
      <c r="S13" s="183">
        <f t="shared" si="6"/>
        <v>1988</v>
      </c>
      <c r="T13" s="183">
        <f t="shared" si="6"/>
        <v>435</v>
      </c>
      <c r="U13" s="183">
        <f t="shared" si="6"/>
        <v>304</v>
      </c>
      <c r="V13" s="183">
        <f t="shared" si="6"/>
        <v>2119</v>
      </c>
      <c r="W13" s="183">
        <f t="shared" si="6"/>
        <v>91</v>
      </c>
      <c r="X13" s="183">
        <f t="shared" si="6"/>
        <v>104</v>
      </c>
      <c r="Y13" s="183">
        <f t="shared" si="6"/>
        <v>89</v>
      </c>
      <c r="Z13" s="183">
        <f t="shared" si="6"/>
        <v>30</v>
      </c>
      <c r="AA13" s="183">
        <f t="shared" si="6"/>
        <v>38</v>
      </c>
      <c r="AB13" s="183">
        <f t="shared" si="6"/>
        <v>81</v>
      </c>
      <c r="AC13" s="183">
        <f t="shared" si="6"/>
        <v>0</v>
      </c>
      <c r="AD13" s="183">
        <f t="shared" si="6"/>
        <v>0</v>
      </c>
      <c r="AE13" s="183">
        <f t="shared" si="6"/>
        <v>0</v>
      </c>
      <c r="AF13" s="183">
        <f>SUBTOTAL(9,AF9:AF12)</f>
        <v>0</v>
      </c>
      <c r="AG13" s="183">
        <f t="shared" ref="AG13:AT13" si="7">SUBTOTAL(9,AG8:AG12)</f>
        <v>69</v>
      </c>
      <c r="AH13" s="183">
        <f t="shared" si="7"/>
        <v>12</v>
      </c>
      <c r="AI13" s="183">
        <f t="shared" si="7"/>
        <v>16</v>
      </c>
      <c r="AJ13" s="183">
        <f t="shared" si="7"/>
        <v>65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2057</v>
      </c>
      <c r="AZ13" s="183">
        <f>SUBTOTAL(9,AZ8:AZ12)</f>
        <v>447</v>
      </c>
      <c r="BA13" s="183">
        <f>SUBTOTAL(9,BA8:BA12)</f>
        <v>320</v>
      </c>
      <c r="BB13" s="183">
        <f>SUBTOTAL(9,BB8:BB12)</f>
        <v>2184</v>
      </c>
      <c r="BC13" s="183">
        <f>SUBTOTAL(9,BC8:BC12)</f>
        <v>104</v>
      </c>
      <c r="BD13" s="204">
        <f>IF(ISNUMBER(BA13/AZ13),BA13/AZ13," - ")</f>
        <v>0.71588366890380317</v>
      </c>
      <c r="BE13" s="205">
        <f>IF(ISNUMBER(BB13/BA13),BB13/BA13, " - ")</f>
        <v>6.8250000000000002</v>
      </c>
      <c r="BF13" s="205">
        <f>IF(ISNUMBER(BC13/BA13),BC13/BA13, " - ")</f>
        <v>0.32500000000000001</v>
      </c>
      <c r="BG13" s="206">
        <f>IF(ISNUMBER((AY13+AZ13)/BA13),(AY13+AZ13)/BA13," - ")</f>
        <v>7.8250000000000002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1914</v>
      </c>
      <c r="J16" s="182">
        <v>442</v>
      </c>
      <c r="K16" s="182">
        <v>254</v>
      </c>
      <c r="L16" s="182">
        <v>2102</v>
      </c>
      <c r="M16" s="182">
        <v>45</v>
      </c>
      <c r="N16" s="182">
        <v>151</v>
      </c>
      <c r="O16" s="180">
        <v>25</v>
      </c>
      <c r="P16" s="182">
        <v>10</v>
      </c>
      <c r="Q16" s="182">
        <v>28</v>
      </c>
      <c r="R16" s="182">
        <v>67</v>
      </c>
      <c r="S16" s="182">
        <v>1342</v>
      </c>
      <c r="T16" s="182">
        <v>714</v>
      </c>
      <c r="U16" s="182">
        <v>626</v>
      </c>
      <c r="V16" s="182">
        <v>1430</v>
      </c>
      <c r="W16" s="182">
        <v>52</v>
      </c>
      <c r="X16" s="188">
        <v>443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1342</v>
      </c>
      <c r="AZ16" s="127">
        <f t="shared" si="9"/>
        <v>714</v>
      </c>
      <c r="BA16" s="127">
        <f t="shared" si="9"/>
        <v>626</v>
      </c>
      <c r="BB16" s="127">
        <f t="shared" si="9"/>
        <v>1430</v>
      </c>
      <c r="BC16" s="125">
        <f>IF(ISNUMBER(W16),W16," - ")</f>
        <v>52</v>
      </c>
      <c r="BD16" s="126">
        <f t="shared" ref="BD16" si="11">IF(ISNUMBER(BA16/AZ16),BA16/AZ16," - ")</f>
        <v>0.87675070028011204</v>
      </c>
      <c r="BE16" s="127">
        <f t="shared" ref="BE16" si="12">IF(ISNUMBER(BB16/BA16),BB16/BA16, " - ")</f>
        <v>2.2843450479233227</v>
      </c>
      <c r="BF16" s="127">
        <f t="shared" ref="BF16" si="13">IF(ISNUMBER(BC16/BA16),BC16/BA16, " - ")</f>
        <v>8.3067092651757185E-2</v>
      </c>
      <c r="BG16" s="195">
        <f t="shared" si="10"/>
        <v>3.2843450479233227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83</v>
      </c>
      <c r="J17" s="182">
        <v>27</v>
      </c>
      <c r="K17" s="182">
        <v>22</v>
      </c>
      <c r="L17" s="182">
        <v>88</v>
      </c>
      <c r="M17" s="182">
        <v>5</v>
      </c>
      <c r="N17" s="182">
        <v>14</v>
      </c>
      <c r="O17" s="182">
        <v>0</v>
      </c>
      <c r="P17" s="182">
        <v>0</v>
      </c>
      <c r="Q17" s="182">
        <v>0</v>
      </c>
      <c r="R17" s="182">
        <v>0</v>
      </c>
      <c r="S17" s="182">
        <v>52</v>
      </c>
      <c r="T17" s="182">
        <v>36</v>
      </c>
      <c r="U17" s="182">
        <v>28</v>
      </c>
      <c r="V17" s="182">
        <v>62</v>
      </c>
      <c r="W17" s="182">
        <v>6</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52</v>
      </c>
      <c r="AZ17" s="129">
        <f t="shared" si="14"/>
        <v>36</v>
      </c>
      <c r="BA17" s="129">
        <f t="shared" si="14"/>
        <v>28</v>
      </c>
      <c r="BB17" s="129">
        <f t="shared" si="14"/>
        <v>62</v>
      </c>
      <c r="BC17" s="125">
        <f>IF(ISNUMBER(W17),W17," - ")</f>
        <v>6</v>
      </c>
      <c r="BD17" s="126">
        <f>IF(ISNUMBER(BA17/AZ17),BA17/AZ17," - ")</f>
        <v>0.77777777777777779</v>
      </c>
      <c r="BE17" s="127">
        <f>IF(ISNUMBER(BB17/BA17),BB17/BA17, " - ")</f>
        <v>2.2142857142857144</v>
      </c>
      <c r="BF17" s="127">
        <f>IF(ISNUMBER(BC17/BA17),BC17/BA17, " - ")</f>
        <v>0.21428571428571427</v>
      </c>
      <c r="BG17" s="195">
        <f>IF(ISNUMBER((AY17+AZ17)/BA17),(AY17+AZ17)/BA17," - ")</f>
        <v>3.1428571428571428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1997</v>
      </c>
      <c r="J18" s="183">
        <f t="shared" si="15"/>
        <v>469</v>
      </c>
      <c r="K18" s="183">
        <f t="shared" si="15"/>
        <v>276</v>
      </c>
      <c r="L18" s="183">
        <f t="shared" si="15"/>
        <v>2190</v>
      </c>
      <c r="M18" s="183">
        <f t="shared" si="15"/>
        <v>50</v>
      </c>
      <c r="N18" s="183">
        <f t="shared" si="15"/>
        <v>165</v>
      </c>
      <c r="O18" s="183">
        <f t="shared" si="15"/>
        <v>25</v>
      </c>
      <c r="P18" s="183">
        <f t="shared" si="15"/>
        <v>10</v>
      </c>
      <c r="Q18" s="183">
        <f t="shared" si="15"/>
        <v>28</v>
      </c>
      <c r="R18" s="183">
        <f t="shared" si="15"/>
        <v>67</v>
      </c>
      <c r="S18" s="183">
        <f t="shared" si="15"/>
        <v>1394</v>
      </c>
      <c r="T18" s="183">
        <f t="shared" si="15"/>
        <v>750</v>
      </c>
      <c r="U18" s="183">
        <f t="shared" si="15"/>
        <v>654</v>
      </c>
      <c r="V18" s="183">
        <f t="shared" si="15"/>
        <v>1492</v>
      </c>
      <c r="W18" s="183">
        <f t="shared" si="15"/>
        <v>58</v>
      </c>
      <c r="X18" s="183">
        <f t="shared" si="15"/>
        <v>469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1394</v>
      </c>
      <c r="AZ18" s="183">
        <f>SUBTOTAL(9,AZ14:AZ17)</f>
        <v>750</v>
      </c>
      <c r="BA18" s="183">
        <f>SUBTOTAL(9,BA14:BA17)</f>
        <v>654</v>
      </c>
      <c r="BB18" s="183">
        <f>SUBTOTAL(9,BB14:BB17)</f>
        <v>1492</v>
      </c>
      <c r="BC18" s="183">
        <f>SUBTOTAL(9,BC14:BC17)</f>
        <v>58</v>
      </c>
      <c r="BD18" s="204">
        <f>IF(ISNUMBER(BA18/AZ18),BA18/AZ18," - ")</f>
        <v>0.872</v>
      </c>
      <c r="BE18" s="205">
        <f>IF(ISNUMBER(BB18/BA18),BB18/BA18, " - ")</f>
        <v>2.2813455657492354</v>
      </c>
      <c r="BF18" s="205">
        <f>IF(ISNUMBER(BC18/BA18),BC18/BA18, " - ")</f>
        <v>8.8685015290519878E-2</v>
      </c>
      <c r="BG18" s="206">
        <f>IF(ISNUMBER((AY18+AZ18)/BA18),(AY18+AZ18)/BA18," - ")</f>
        <v>3.2782874617737003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4437</v>
      </c>
      <c r="J19" s="134">
        <f t="shared" si="18"/>
        <v>1598</v>
      </c>
      <c r="K19" s="134">
        <f t="shared" si="18"/>
        <v>689</v>
      </c>
      <c r="L19" s="134">
        <f t="shared" si="18"/>
        <v>5346</v>
      </c>
      <c r="M19" s="134">
        <f t="shared" si="18"/>
        <v>139</v>
      </c>
      <c r="N19" s="134">
        <f t="shared" si="18"/>
        <v>278</v>
      </c>
      <c r="O19" s="134">
        <f t="shared" si="18"/>
        <v>269</v>
      </c>
      <c r="P19" s="134">
        <f t="shared" si="18"/>
        <v>76</v>
      </c>
      <c r="Q19" s="134">
        <f t="shared" si="18"/>
        <v>59</v>
      </c>
      <c r="R19" s="134">
        <f t="shared" si="18"/>
        <v>2381</v>
      </c>
      <c r="S19" s="134">
        <f t="shared" si="18"/>
        <v>3382</v>
      </c>
      <c r="T19" s="134">
        <f t="shared" si="18"/>
        <v>1185</v>
      </c>
      <c r="U19" s="134">
        <f t="shared" si="18"/>
        <v>958</v>
      </c>
      <c r="V19" s="134">
        <f t="shared" si="18"/>
        <v>3611</v>
      </c>
      <c r="W19" s="134">
        <f t="shared" si="18"/>
        <v>149</v>
      </c>
      <c r="X19" s="134">
        <f t="shared" si="18"/>
        <v>573</v>
      </c>
      <c r="Y19" s="134">
        <f t="shared" si="18"/>
        <v>89</v>
      </c>
      <c r="Z19" s="134">
        <f t="shared" si="18"/>
        <v>30</v>
      </c>
      <c r="AA19" s="134">
        <f t="shared" si="18"/>
        <v>38</v>
      </c>
      <c r="AB19" s="134">
        <f t="shared" si="18"/>
        <v>81</v>
      </c>
      <c r="AC19" s="134">
        <f t="shared" si="18"/>
        <v>0</v>
      </c>
      <c r="AD19" s="134">
        <f t="shared" si="18"/>
        <v>0</v>
      </c>
      <c r="AE19" s="134">
        <f t="shared" si="18"/>
        <v>0</v>
      </c>
      <c r="AF19" s="134">
        <f t="shared" si="18"/>
        <v>0</v>
      </c>
      <c r="AG19" s="134">
        <f t="shared" si="18"/>
        <v>69</v>
      </c>
      <c r="AH19" s="134">
        <f t="shared" si="18"/>
        <v>12</v>
      </c>
      <c r="AI19" s="134">
        <f t="shared" si="18"/>
        <v>16</v>
      </c>
      <c r="AJ19" s="134">
        <f t="shared" si="18"/>
        <v>65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3451</v>
      </c>
      <c r="AZ19" s="134">
        <f>SUBTOTAL(9,AZ9:AZ18)</f>
        <v>1197</v>
      </c>
      <c r="BA19" s="134">
        <f>SUBTOTAL(9,BA9:BA18)</f>
        <v>974</v>
      </c>
      <c r="BB19" s="134">
        <f>SUBTOTAL(9,BB9:BB18)</f>
        <v>3676</v>
      </c>
      <c r="BC19" s="135">
        <f>SUBTOTAL(9,BC9:BC18)</f>
        <v>162</v>
      </c>
      <c r="BD19" s="212">
        <f>IF(ISNUMBER(BA19/AZ19),BA19/AZ19," - ")</f>
        <v>0.81370091896407681</v>
      </c>
      <c r="BE19" s="209">
        <f>IF(ISNUMBER(BB19/BA19),BB19/BA19, " - ")</f>
        <v>3.7741273100616017</v>
      </c>
      <c r="BF19" s="209">
        <f>IF(ISNUMBER(BC19/BA19),BC19/BA19, " - ")</f>
        <v>0.16632443531827515</v>
      </c>
      <c r="BG19" s="135">
        <f>IF(ISNUMBER((AY19+AZ19)/BA19),(AY19+AZ19)/BA19," - ")</f>
        <v>4.7720739219712529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735JDH7pSPP+BQwYeQJTN/54W3VJ5VSJAf/R9kho5Gt5zkKAakI/zxwAO5mZQ99x3EE8qOBlxn2jBAHvAxsQ==" saltValue="cATciUWc84AOZ/1+bamq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4KLS5pk+mTsHbQqLvbmN6wZSPiz952bJ5qh3YOXC6WgSfCM5F3iYWgyv8jttNyTnWhKISnWFAsD5oZez20EQ==" saltValue="Q75hXMLW61Tn/bROiqvF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VALVERDE DEL CAMINO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10.000000000000002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81</v>
      </c>
      <c r="AI12" s="333" t="str">
        <f>IF(ISNUMBER(Datos!CD12),Datos!CD12,"-")</f>
        <v>-</v>
      </c>
      <c r="AJ12" s="333" t="str">
        <f>IF(ISNUMBER(Datos!EN12),Datos!EN12," - ")</f>
        <v xml:space="preserve"> - </v>
      </c>
      <c r="AK12" s="333"/>
      <c r="AL12" s="478"/>
      <c r="AM12" s="334">
        <f>IF(ISNUMBER(Datos!R12),Datos!R12," - ")</f>
        <v>2314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87</v>
      </c>
      <c r="BD12" s="228">
        <f>IF(ISNUMBER(Datos!N12),Datos!N12," - ")</f>
        <v>113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0.38821490467937608</v>
      </c>
      <c r="BH12" s="259">
        <f>IF(ISNUMBER(((IF(J_V="SI",Datos!L12/Datos!K12,(Datos!L12+Datos!AB12)/(Datos!K12+Datos!AA12)))*11)/factor_trimestre),((IF(J_V="SI",Datos!L12/Datos!K12,(Datos!L12+Datos!AB12)/(Datos!K12+Datos!AA12)))*11)/factor_trimestre," - ")</f>
        <v>21.609375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1.5357612988152698E-2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30</v>
      </c>
      <c r="O13" s="899">
        <f t="shared" si="0"/>
        <v>0</v>
      </c>
      <c r="P13" s="899">
        <f t="shared" si="0"/>
        <v>0</v>
      </c>
      <c r="Q13" s="898">
        <f t="shared" si="0"/>
        <v>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31</v>
      </c>
      <c r="AD13" s="898">
        <f t="shared" si="1"/>
        <v>0</v>
      </c>
      <c r="AE13" s="898">
        <f t="shared" si="1"/>
        <v>0</v>
      </c>
      <c r="AF13" s="898">
        <f t="shared" si="1"/>
        <v>10</v>
      </c>
      <c r="AG13" s="898">
        <f t="shared" si="1"/>
        <v>0</v>
      </c>
      <c r="AH13" s="898">
        <f t="shared" si="1"/>
        <v>81</v>
      </c>
      <c r="AI13" s="898">
        <f t="shared" si="1"/>
        <v>0</v>
      </c>
      <c r="AJ13" s="898">
        <f t="shared" si="1"/>
        <v>0</v>
      </c>
      <c r="AK13" s="898">
        <f t="shared" si="1"/>
        <v>0</v>
      </c>
      <c r="AL13" s="898">
        <f t="shared" si="1"/>
        <v>0</v>
      </c>
      <c r="AM13" s="898">
        <f t="shared" si="1"/>
        <v>2314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v>
      </c>
      <c r="BD13" s="898">
        <f t="shared" si="1"/>
        <v>113</v>
      </c>
      <c r="BE13" s="898">
        <f t="shared" si="1"/>
        <v>0</v>
      </c>
      <c r="BF13" s="898">
        <f t="shared" si="1"/>
        <v>0</v>
      </c>
      <c r="BG13" s="898">
        <f>IF(ISNUMBER(Datos!K13/Datos!J13),Datos!K13/Datos!J13," - ")</f>
        <v>0.36581045172719223</v>
      </c>
      <c r="BH13" s="902">
        <f>IF(ISNUMBER(((Datos!L13/Datos!K13)*11)/factor_trimestre),((Datos!L13/Datos!K13)*11)/factor_trimestre," - ")</f>
        <v>22.924939467312349</v>
      </c>
      <c r="BI13" s="898">
        <f>IF(ISNUMBER('Resol  Asuntos'!D13/NºAsuntos!G13),'Resol  Asuntos'!D13/NºAsuntos!G13," - ")</f>
        <v>0.19733924611973391</v>
      </c>
      <c r="BJ13" s="898" t="str">
        <f>IF(ISNUMBER(Datos!CI13/Datos!CJ13),Datos!CI13/Datos!CJ13," - ")</f>
        <v xml:space="preserve"> - </v>
      </c>
      <c r="BK13" s="898">
        <f>SUBTOTAL(9,BK8:BK12)</f>
        <v>0</v>
      </c>
      <c r="BL13" s="898">
        <f>IF(ISNUMBER((I13-AB13+L13)/(F13)),(I13-AB13+L13)/(F13)," - ")</f>
        <v>-0.375</v>
      </c>
      <c r="BM13" s="903">
        <f>SUBTOTAL(9,BM9:BM12)</f>
        <v>1.5357612988152698E-2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1914</v>
      </c>
      <c r="G16" s="597">
        <f>IF(ISNUMBER(IF(D_I="SI",Datos!I16,Datos!I16+Datos!AC16)),IF(D_I="SI",Datos!I16,Datos!I16+Datos!AC16)," - ")</f>
        <v>1914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254</v>
      </c>
      <c r="AC16" s="225">
        <f>IF(ISNUMBER(Datos!Q16),Datos!Q16," - ")</f>
        <v>28</v>
      </c>
      <c r="AD16" s="333"/>
      <c r="AE16" s="483"/>
      <c r="AF16" s="595">
        <f>IF(ISNUMBER(IF(D_I="SI",Datos!L16,Datos!L16+Datos!AF16)),IF(D_I="SI",Datos!L16,Datos!L16+Datos!AF16)," - ")</f>
        <v>2102</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45</v>
      </c>
      <c r="BD16" s="228">
        <f>IF(ISNUMBER(Datos!N16),Datos!N16," - ")</f>
        <v>151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0.57466063348416285</v>
      </c>
      <c r="BH16" s="259">
        <f>IF(ISNUMBER(((IF(D_I="SI",Datos!L16/Datos!K16,(Datos!L16+Datos!AF16)/(Datos!K16+Datos!AE16)))*11)/factor_trimestre),((IF(D_I="SI",Datos!L16/Datos!K16,(Datos!L16+Datos!AF16)/(Datos!K16+Datos!AE16)))*11)/factor_trimestre," - ")</f>
        <v>24.826771653543307</v>
      </c>
      <c r="BI16" s="242">
        <f>IF(ISNUMBER('Resol  Asuntos'!D16/NºAsuntos!G16),'Resol  Asuntos'!D16/NºAsuntos!G16," - ")</f>
        <v>0.17716535433070865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88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0.81481481481481477</v>
      </c>
      <c r="BH17" s="259">
        <f>IF(ISNUMBER(((IF(D_I="SI",Datos!L17/Datos!K17,(Datos!L17+Datos!AF17)/(Datos!K17+Datos!AE17)))*11)/factor_trimestre),((IF(D_I="SI",Datos!L17/Datos!K17,(Datos!L17+Datos!AF17)/(Datos!K17+Datos!AE17)))*11)/factor_trimestre," - ")</f>
        <v>12</v>
      </c>
      <c r="BI17" s="242">
        <f>IF(ISNUMBER('Resol  Asuntos'!D17/NºAsuntos!G17),'Resol  Asuntos'!D17/NºAsuntos!G17," - ")</f>
        <v>0.22727272727272727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1914</v>
      </c>
      <c r="G18" s="897">
        <f>SUBTOTAL(9,G15:G17)</f>
        <v>1997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276</v>
      </c>
      <c r="AC18" s="898">
        <f t="shared" si="4"/>
        <v>28</v>
      </c>
      <c r="AD18" s="898">
        <f t="shared" si="4"/>
        <v>0</v>
      </c>
      <c r="AE18" s="898">
        <f t="shared" si="4"/>
        <v>0</v>
      </c>
      <c r="AF18" s="898">
        <f t="shared" si="4"/>
        <v>2190</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v>
      </c>
      <c r="BD18" s="898">
        <f t="shared" si="4"/>
        <v>165</v>
      </c>
      <c r="BE18" s="898">
        <f t="shared" si="4"/>
        <v>0</v>
      </c>
      <c r="BF18" s="898">
        <f t="shared" si="4"/>
        <v>0</v>
      </c>
      <c r="BG18" s="898">
        <f>IF(ISNUMBER(Datos!K18/Datos!J18),Datos!K18/Datos!J18," - ")</f>
        <v>0.58848614072494665</v>
      </c>
      <c r="BH18" s="902">
        <f>IF(ISNUMBER(((Datos!L18/Datos!K18)*11)/factor_trimestre),((Datos!L18/Datos!K18)*11)/factor_trimestre," - ")</f>
        <v>23.804347826086957</v>
      </c>
      <c r="BI18" s="898">
        <f>SUBTOTAL(9,BI15:BI17)</f>
        <v>0.40443808160343592</v>
      </c>
      <c r="BJ18" s="898">
        <f>SUBTOTAL(9,BJ15:BJ17)</f>
        <v>0</v>
      </c>
      <c r="BK18" s="898">
        <f>SUBTOTAL(9,BK15:BK17)</f>
        <v>0</v>
      </c>
      <c r="BL18" s="898">
        <f>IF(ISNUMBER((I18-AB18+L18)/(F18)),(I18-AB18+L18)/(F18)," - ")</f>
        <v>-0.14420062695924765</v>
      </c>
      <c r="BM18" s="904">
        <f>IF(ISNUMBER((Datos!P18-Datos!Q18)/(Datos!R18-Datos!P18+Datos!Q18)),(Datos!P18-Datos!Q18)/(Datos!R18-Datos!P18+Datos!Q18)," - ")</f>
        <v>-0.21176470588235294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1922</v>
      </c>
      <c r="G19" s="819">
        <f t="shared" si="6"/>
        <v>2005</v>
      </c>
      <c r="H19" s="821">
        <f t="shared" si="6"/>
        <v>0</v>
      </c>
      <c r="I19" s="819">
        <f t="shared" si="6"/>
        <v>0</v>
      </c>
      <c r="J19" s="821">
        <f t="shared" si="6"/>
        <v>0</v>
      </c>
      <c r="K19" s="821">
        <f t="shared" si="6"/>
        <v>0</v>
      </c>
      <c r="L19" s="880">
        <f t="shared" si="6"/>
        <v>0</v>
      </c>
      <c r="M19" s="880">
        <f t="shared" si="6"/>
        <v>0</v>
      </c>
      <c r="N19" s="880">
        <f t="shared" si="6"/>
        <v>30</v>
      </c>
      <c r="O19" s="880">
        <f t="shared" si="6"/>
        <v>0</v>
      </c>
      <c r="P19" s="880">
        <f t="shared" si="6"/>
        <v>0</v>
      </c>
      <c r="Q19" s="821">
        <f t="shared" si="6"/>
        <v>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279</v>
      </c>
      <c r="AC19" s="820">
        <f t="shared" si="7"/>
        <v>59</v>
      </c>
      <c r="AD19" s="820">
        <f t="shared" si="7"/>
        <v>0</v>
      </c>
      <c r="AE19" s="820">
        <f t="shared" si="7"/>
        <v>0</v>
      </c>
      <c r="AF19" s="827">
        <f t="shared" si="7"/>
        <v>2200</v>
      </c>
      <c r="AG19" s="827">
        <f t="shared" si="7"/>
        <v>0</v>
      </c>
      <c r="AH19" s="827">
        <f t="shared" si="7"/>
        <v>81</v>
      </c>
      <c r="AI19" s="827">
        <f t="shared" si="7"/>
        <v>0</v>
      </c>
      <c r="AJ19" s="820">
        <f t="shared" si="7"/>
        <v>0</v>
      </c>
      <c r="AK19" s="827">
        <f t="shared" si="7"/>
        <v>0</v>
      </c>
      <c r="AL19" s="827">
        <f t="shared" si="7"/>
        <v>0</v>
      </c>
      <c r="AM19" s="827">
        <f t="shared" si="7"/>
        <v>2381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139</v>
      </c>
      <c r="BD19" s="819">
        <f t="shared" si="7"/>
        <v>278</v>
      </c>
      <c r="BE19" s="819">
        <f t="shared" si="7"/>
        <v>0</v>
      </c>
      <c r="BF19" s="829">
        <f t="shared" si="7"/>
        <v>0</v>
      </c>
      <c r="BG19" s="914">
        <f>IF(ISNUMBER(Datos!K19/Datos!J19),Datos!K19/Datos!J19," - ")</f>
        <v>0.43116395494367959</v>
      </c>
      <c r="BH19" s="914">
        <f>IF(ISNUMBER(((Datos!L19/Datos!K19)*11)/factor_trimestre),((Datos!L19/Datos!K19)*11)/factor_trimestre," - ")</f>
        <v>23.277213352685052</v>
      </c>
      <c r="BI19" s="812">
        <f>IF(ISNUMBER(Datos!J19/Datos!I19),Datos!J19/Datos!I19," - ")</f>
        <v>0.36015325670498083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-0.14516129032258066</v>
      </c>
      <c r="BM19" s="888">
        <f>IF(ISNUMBER((Datos!P19-Datos!Q19+R19)/(Datos!R19-Datos!P19+Datos!Q19-R19)),(Datos!P19-Datos!Q19+R19)/(Datos!R19-Datos!P19+Datos!Q19-R19)," - ")</f>
        <v>7.1912013536379014E-3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1100.4296130754267</v>
      </c>
      <c r="G21" s="551">
        <f>IF(ISNUMBER(STDEV(G8:G18)),STDEV(G8:G18),"-")</f>
        <v>1053.8503214403836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140.46458628423036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37.850583438920289</v>
      </c>
      <c r="BD21" s="550"/>
      <c r="BE21" s="550">
        <f>IF(ISNUMBER(STDEV(BE8:BE18)),STDEV(BE8:BE18),"-")</f>
        <v>0</v>
      </c>
      <c r="BF21" s="555">
        <f>IF(ISNUMBER(STDEV(BF8:BF18)),STDEV(BF8:BF18),"-")</f>
        <v>0</v>
      </c>
      <c r="BG21" s="774">
        <f>IF(ISNUMBER(STDEV(BG8:BG18)),STDEV(BG8:BG18),"-")</f>
        <v>0.1641011245126984</v>
      </c>
      <c r="BH21" s="775">
        <f>IF(ISNUMBER(STDEV(BH8:BH18)),STDEV(BH8:BH18),"-")</f>
        <v>6.4656111998037584</v>
      </c>
      <c r="BI21" s="248">
        <f>IF(ISNUMBER(STDEV(BI8:BI18)),STDEV(BI8:BI18),"-")</f>
        <v>0.10398081995525933</v>
      </c>
      <c r="BJ21" s="229" t="str">
        <f>IF(ISNUMBER(BL21/BM21),BL21/BM21," - ")</f>
        <v xml:space="preserve"> - </v>
      </c>
      <c r="BK21" s="574"/>
      <c r="BL21" s="558">
        <f>IF(ISNUMBER(STDEV(BL8:BL18)),STDEV(BL8:BL18),"-")</f>
        <v>0.16319980177071966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Ahou6+r+zx1Y7ZkiIgqtDe9ycLumLoL6lsOsxNxJ/to0lMcH8djxLy4MSJE8X331Tnaor9vVCnsVuEqVoHvqQ==" saltValue="nK/xL7O6KvlqG++vxO9v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VALVERDE DEL CAMINO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10.000000000000002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2314</v>
      </c>
      <c r="AF12" s="228" t="str">
        <f>IF(ISNUMBER(Datos!BV12),Datos!BV12," - ")</f>
        <v xml:space="preserve"> - </v>
      </c>
      <c r="AG12" s="224" t="str">
        <f>IF(ISNUMBER(Datos!DV12),Datos!DV12," - ")</f>
        <v xml:space="preserve"> - </v>
      </c>
      <c r="AH12" s="297"/>
      <c r="AI12" s="226"/>
      <c r="AJ12" s="224">
        <f>IF(ISNUMBER(Datos!M12),Datos!M12," - ")</f>
        <v>87</v>
      </c>
      <c r="AK12" s="228">
        <f>IF(ISNUMBER(Datos!N12),Datos!N12," - ")</f>
        <v>113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21.609375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1.5357612988152698E-2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31</v>
      </c>
      <c r="AA13" s="899">
        <f t="shared" si="2"/>
        <v>10</v>
      </c>
      <c r="AB13" s="899">
        <f t="shared" si="2"/>
        <v>0</v>
      </c>
      <c r="AC13" s="899">
        <f t="shared" si="2"/>
        <v>0</v>
      </c>
      <c r="AD13" s="899">
        <f t="shared" si="2"/>
        <v>0</v>
      </c>
      <c r="AE13" s="899">
        <f t="shared" si="2"/>
        <v>2314</v>
      </c>
      <c r="AF13" s="907">
        <f t="shared" si="2"/>
        <v>0</v>
      </c>
      <c r="AG13" s="907">
        <f t="shared" si="2"/>
        <v>0</v>
      </c>
      <c r="AH13" s="907">
        <f t="shared" si="2"/>
        <v>0</v>
      </c>
      <c r="AI13" s="907">
        <f t="shared" si="2"/>
        <v>0</v>
      </c>
      <c r="AJ13" s="907">
        <f t="shared" si="2"/>
        <v>89</v>
      </c>
      <c r="AK13" s="907">
        <f t="shared" si="2"/>
        <v>113</v>
      </c>
      <c r="AL13" s="907">
        <f t="shared" si="2"/>
        <v>0</v>
      </c>
      <c r="AM13" s="907">
        <f t="shared" si="2"/>
        <v>0</v>
      </c>
      <c r="AN13" s="907">
        <f t="shared" si="2"/>
        <v>0</v>
      </c>
      <c r="AO13" s="903">
        <f>IF(ISNUMBER(((NºAsuntos!I13/NºAsuntos!G13)*11)/factor_trimestre),((NºAsuntos!I13/NºAsuntos!G13)*11)/factor_trimestre," - ")</f>
        <v>21.532150776053218</v>
      </c>
      <c r="AP13" s="909" t="str">
        <f>IF(ISNUMBER(Datos!CI13/Datos!CJ13),Datos!CI13/Datos!CJ13," - ")</f>
        <v xml:space="preserve"> - </v>
      </c>
      <c r="AQ13" s="927">
        <f t="shared" ref="AQ13:AV13" si="3">SUBTOTAL(9,AQ9:AQ12)</f>
        <v>0</v>
      </c>
      <c r="AR13" s="927">
        <f t="shared" si="3"/>
        <v>1.5357612988152698E-2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1914</v>
      </c>
      <c r="G16" s="224">
        <f>IF(ISNUMBER(IF(D_I="SI",Datos!I16,Datos!I16+Datos!AC16)),IF(D_I="SI",Datos!I16,Datos!I16+Datos!AC16)," - ")</f>
        <v>1914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254</v>
      </c>
      <c r="Z16" s="618">
        <f>IF(ISNUMBER(Datos!Q16),Datos!Q16," - ")</f>
        <v>28</v>
      </c>
      <c r="AA16" s="331">
        <f>IF(ISNUMBER(IF(D_I="SI",Datos!L16,Datos!L16+Datos!AF16)),IF(D_I="SI",Datos!L16,Datos!L16+Datos!AF16)," - ")</f>
        <v>2102</v>
      </c>
      <c r="AB16" s="333"/>
      <c r="AC16" s="333"/>
      <c r="AD16" s="483"/>
      <c r="AE16" s="483">
        <f>IF(ISNUMBER(Datos!R16),Datos!R16," - ")</f>
        <v>67</v>
      </c>
      <c r="AF16" s="228" t="str">
        <f>IF(ISNUMBER(Datos!BV16),Datos!BV16," - ")</f>
        <v xml:space="preserve"> - </v>
      </c>
      <c r="AG16" s="224"/>
      <c r="AH16" s="297"/>
      <c r="AI16" s="226"/>
      <c r="AJ16" s="224">
        <f>IF(ISNUMBER(Datos!M16),Datos!M16," - ")</f>
        <v>45</v>
      </c>
      <c r="AK16" s="228">
        <f>IF(ISNUMBER(Datos!N16),Datos!N16," - ")</f>
        <v>151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24.826771653543307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88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1914</v>
      </c>
      <c r="G18" s="897">
        <f>SUBTOTAL(9,G15:G17)</f>
        <v>1997</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276</v>
      </c>
      <c r="Z18" s="931">
        <f t="shared" si="5"/>
        <v>28</v>
      </c>
      <c r="AA18" s="931">
        <f t="shared" si="5"/>
        <v>2190</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50</v>
      </c>
      <c r="AK18" s="931">
        <f t="shared" si="5"/>
        <v>165</v>
      </c>
      <c r="AL18" s="931">
        <f t="shared" si="5"/>
        <v>0</v>
      </c>
      <c r="AM18" s="931">
        <f t="shared" si="5"/>
        <v>0</v>
      </c>
      <c r="AN18" s="931">
        <f t="shared" si="5"/>
        <v>0</v>
      </c>
      <c r="AO18" s="933">
        <f>IF(ISNUMBER(((NºAsuntos!I18/NºAsuntos!G18)*11)/factor_trimestre),((NºAsuntos!I18/NºAsuntos!G18)*11)/factor_trimestre," - ")</f>
        <v>23.804347826086957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1922</v>
      </c>
      <c r="G19" s="819">
        <f t="shared" si="7"/>
        <v>2005</v>
      </c>
      <c r="H19" s="820">
        <f t="shared" si="7"/>
        <v>0</v>
      </c>
      <c r="I19" s="819">
        <f t="shared" si="7"/>
        <v>0</v>
      </c>
      <c r="J19" s="821">
        <f t="shared" si="7"/>
        <v>0</v>
      </c>
      <c r="K19" s="819">
        <f t="shared" si="7"/>
        <v>0</v>
      </c>
      <c r="L19" s="822">
        <f t="shared" si="7"/>
        <v>0</v>
      </c>
      <c r="M19" s="819">
        <f t="shared" si="7"/>
        <v>0</v>
      </c>
      <c r="N19" s="820">
        <f t="shared" si="7"/>
        <v>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279</v>
      </c>
      <c r="Z19" s="826">
        <f t="shared" si="8"/>
        <v>59</v>
      </c>
      <c r="AA19" s="827">
        <f t="shared" si="8"/>
        <v>2200</v>
      </c>
      <c r="AB19" s="827">
        <f t="shared" si="8"/>
        <v>0</v>
      </c>
      <c r="AC19" s="827">
        <f t="shared" si="8"/>
        <v>0</v>
      </c>
      <c r="AD19" s="828">
        <f t="shared" si="8"/>
        <v>0</v>
      </c>
      <c r="AE19" s="828">
        <f t="shared" si="8"/>
        <v>2381</v>
      </c>
      <c r="AF19" s="829">
        <f t="shared" si="8"/>
        <v>0</v>
      </c>
      <c r="AG19" s="830">
        <f t="shared" si="8"/>
        <v>0</v>
      </c>
      <c r="AH19" s="831">
        <f t="shared" si="8"/>
        <v>0</v>
      </c>
      <c r="AI19" s="829">
        <f t="shared" si="8"/>
        <v>0</v>
      </c>
      <c r="AJ19" s="819">
        <f t="shared" si="8"/>
        <v>139</v>
      </c>
      <c r="AK19" s="819">
        <f t="shared" si="8"/>
        <v>278</v>
      </c>
      <c r="AL19" s="819">
        <f t="shared" si="8"/>
        <v>0</v>
      </c>
      <c r="AM19" s="832">
        <f t="shared" si="8"/>
        <v>0</v>
      </c>
      <c r="AN19" s="822">
        <f>IF(ISNUMBER(Datos!K19/Datos!J19),Datos!K19/Datos!J19," - ")</f>
        <v>0.43116395494367959</v>
      </c>
      <c r="AO19" s="822">
        <f>IF(ISNUMBER(FIND("06",Criterios!A8,1)),(IF(ISNUMBER(((Datos!R19/Datos!Q19)*11)/factor_trimestre),((Datos!R19/Datos!Q19)*11)/factor_trimestre," - ")),(IF(ISNUMBER(((Datos!L19/Datos!K19)*11)/factor_trimestre),((Datos!L19/Datos!K19)*11)/factor_trimestre," - ")))</f>
        <v>23.277213352685052</v>
      </c>
      <c r="AP19" s="833" t="str">
        <f>IF(ISNUMBER(Datos!CI19/Datos!CJ19),Datos!CI19/Datos!CJ19," - ")</f>
        <v xml:space="preserve"> - </v>
      </c>
      <c r="AQ19" s="833">
        <f>IF(OR(ISNUMBER(FIND("01",Criterios!A8,1)),ISNUMBER(FIND("02",Criterios!A8,1)),ISNUMBER(FIND("03",Criterios!A8,1)),ISNUMBER(FIND("04",Criterios!A8,1))),(J19-Y19+K19)/(F19-K19),(I19-Y19+K19)/(F19-K19))</f>
        <v>-0.14516129032258066</v>
      </c>
      <c r="AR19" s="833">
        <f>IF(ISNUMBER((Datos!P19-Datos!Q19+O19)/(Datos!R19-Datos!P19+Datos!Q19-O19)),(Datos!P19-Datos!Q19+O19)/(Datos!R19-Datos!P19+Datos!Q19-O19)," - ")</f>
        <v>7.1912013536379014E-3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1100.4296130754267</v>
      </c>
      <c r="G21" s="551">
        <f>IF(ISNUMBER(STDEV(G8:G18)),STDEV(G8:G18),"-")</f>
        <v>1053.8503214403836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37.850583438920289</v>
      </c>
      <c r="AK21" s="251"/>
      <c r="AL21" s="251">
        <f>IF(ISNUMBER(STDEV(AL8:AL18)),STDEV(AL8:AL18),"-")</f>
        <v>0</v>
      </c>
      <c r="AM21" s="253">
        <f>IF(ISNUMBER(STDEV(AM8:AM18)),STDEV(AM8:AM18),"-")</f>
        <v>0</v>
      </c>
      <c r="AN21" s="538">
        <f>IF(ISNUMBER(STDEV(AN8:AN18)),STDEV(AN8:AN18),"-")</f>
        <v>0</v>
      </c>
      <c r="AO21" s="539">
        <f>IF(ISNUMBER(STDEV(AO8:AO18)),STDEV(AO8:AO18),"-")</f>
        <v>6.3284284992388722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VxwsERON4cCo0faNHKQUcVbDa850iKriCnppJ/BCfDGRe+eoqIeNhPP2T3kTZL4ovV6g02u4485OExg+exAFg==" saltValue="3JsYFrDM+JY0W8tsEcwW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B0nsYqotIohXAeVffMbISf1oNpRD5dDe1t8adhpFanBArd/reDPecaLH2OJntqCKj5+uSFK3WLnBuyB19MyQQ==" saltValue="/nHL5LwQ74HYJM60dJzE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DK5xE4WJ/AU+n+Os463XQsNRzpkPySkciUgZ8s8EZG9jd6gFKgnpqnEqwP1Q8ADpAXrN0XV8nZMfbZVVEozyw==" saltValue="yAHz4gN338rPuorebGhl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VALVERDE DEL CAMINO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0.19733924611973391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0.13953991912550495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DWi84LcUsBKzE1xfMYkaLLCmoluqJKKsmXNliSV8FoCtG7kaipxclD3o3Jh5WlKTm5gSDz7bd8OAVnW9hE7mw==" saltValue="B1TmsRz+Ca4p/7mCRbqZ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LP/u1qXqIfwuOsQ+fIRFs3u9k47l7C2haXIjCzPgk5HYSUG2RjvsLuf3NPlx0NLizDhvuw4c2PoOqJiFCNh8g==" saltValue="tgtnX5uLQ/sbiO3MHDq2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VALVERDE DEL CAMINO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5</v>
      </c>
      <c r="F10" s="403">
        <f>IF(ISNUMBER(E10/B10),E10/B10," - ")</f>
        <v>5</v>
      </c>
      <c r="G10" s="402">
        <f>IF(ISNUMBER(Datos!K10),Datos!K10," - ")</f>
        <v>3</v>
      </c>
      <c r="H10" s="403">
        <f>IF(ISNUMBER(G10/B10),G10/B10," - ")</f>
        <v>3</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2521</v>
      </c>
      <c r="D12" s="403">
        <f>IF(ISNUMBER(C12/Datos!BH12),C12/Datos!BH12," - ")</f>
        <v>1260.5</v>
      </c>
      <c r="E12" s="402">
        <f>IF(ISNUMBER(IF(J_V="SI",Datos!J12,Datos!J12+Datos!Z12)),IF(J_V="SI",Datos!J12,Datos!J12+Datos!Z12)," - ")</f>
        <v>1154</v>
      </c>
      <c r="F12" s="403">
        <f>IF(ISNUMBER(E12/B12),E12/B12," - ")</f>
        <v>577</v>
      </c>
      <c r="G12" s="402">
        <f>IF(ISNUMBER(IF(J_V="SI",Datos!K12,Datos!K12+Datos!AA12)),IF(J_V="SI",Datos!K12,Datos!K12+Datos!AA12)," - ")</f>
        <v>448</v>
      </c>
      <c r="H12" s="403">
        <f>IF(ISNUMBER(G12/B12),G12/B12," - ")</f>
        <v>224</v>
      </c>
      <c r="I12" s="402">
        <f>IF(ISNUMBER(IF(J_V="SI",Datos!L12,Datos!L12+Datos!AB12)),IF(J_V="SI",Datos!L12,Datos!L12+Datos!AB12)," - ")</f>
        <v>3227</v>
      </c>
      <c r="J12" s="403">
        <f>IF(ISNUMBER(I12/B12),I12/B12," - ")</f>
        <v>1613.5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2529</v>
      </c>
      <c r="D13" s="849" t="str">
        <f>IF(ISNUMBER(C13/Datos!BI13),C13/Datos!BI13," - ")</f>
        <v xml:space="preserve"> - </v>
      </c>
      <c r="E13" s="848">
        <f>SUBTOTAL(9,E8:E12)</f>
        <v>1159</v>
      </c>
      <c r="F13" s="849">
        <f>IF(ISNUMBER(E13/B13),E13/B13," - ")</f>
        <v>579.5</v>
      </c>
      <c r="G13" s="848">
        <f>SUBTOTAL(9,G8:G12)</f>
        <v>451</v>
      </c>
      <c r="H13" s="849">
        <f>IF(ISNUMBER(G13/B13),G13/B13," - ")</f>
        <v>225.5</v>
      </c>
      <c r="I13" s="848">
        <f>SUBTOTAL(9,I8:I12)</f>
        <v>3237</v>
      </c>
      <c r="J13" s="849">
        <f>IF(ISNUMBER(I13/B13),I13/B13," - ")</f>
        <v>1618.5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1914</v>
      </c>
      <c r="D16" s="403">
        <f>IF(ISNUMBER(C16/Datos!BH16),C16/Datos!BH16," - ")</f>
        <v>957</v>
      </c>
      <c r="E16" s="402">
        <f>IF(ISNUMBER(IF(D_I="SI",Datos!J16,Datos!J16+Datos!AD16)),IF(D_I="SI",Datos!J16,Datos!J16+Datos!AD16)," - ")</f>
        <v>442</v>
      </c>
      <c r="F16" s="403">
        <f>IF(ISNUMBER(E16/B16),E16/B16," - ")</f>
        <v>221</v>
      </c>
      <c r="G16" s="402">
        <f>IF(ISNUMBER(IF(D_I="SI",Datos!K16,Datos!K16+Datos!AE16)),IF(D_I="SI",Datos!K16,Datos!K16+Datos!AE16)," - ")</f>
        <v>254</v>
      </c>
      <c r="H16" s="403">
        <f>IF(ISNUMBER(G16/B16),G16/B16," - ")</f>
        <v>127</v>
      </c>
      <c r="I16" s="402">
        <f>IF(ISNUMBER(IF(D_I="SI",Datos!L16,Datos!L16+Datos!AF16)),IF(D_I="SI",Datos!L16,Datos!L16+Datos!AF16)," - ")</f>
        <v>2102</v>
      </c>
      <c r="J16" s="403">
        <f>IF(ISNUMBER(I16/B16),I16/B16," - ")</f>
        <v>1051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83</v>
      </c>
      <c r="D17" s="403">
        <f>IF(ISNUMBER(C17/Datos!BH17),C17/Datos!BH17," - ")</f>
        <v>83</v>
      </c>
      <c r="E17" s="402">
        <f>IF(ISNUMBER(IF(D_I="SI",Datos!J17,Datos!J17+Datos!AD17)),IF(D_I="SI",Datos!J17,Datos!J17+Datos!AD17)," - ")</f>
        <v>27</v>
      </c>
      <c r="F17" s="403">
        <f>IF(ISNUMBER(E17/B17),E17/B17," - ")</f>
        <v>27</v>
      </c>
      <c r="G17" s="402">
        <f>IF(ISNUMBER(IF(D_I="SI",Datos!K17,Datos!K17+Datos!AE17)),IF(D_I="SI",Datos!K17,Datos!K17+Datos!AE17)," - ")</f>
        <v>22</v>
      </c>
      <c r="H17" s="403">
        <f>IF(ISNUMBER(G17/B17),G17/B17," - ")</f>
        <v>22</v>
      </c>
      <c r="I17" s="402">
        <f>IF(ISNUMBER(IF(D_I="SI",Datos!L17,Datos!L17+Datos!AF17)),IF(D_I="SI",Datos!L17,Datos!L17+Datos!AF17)," - ")</f>
        <v>88</v>
      </c>
      <c r="J17" s="403">
        <f>IF(ISNUMBER(I17/B17),I17/B17," - ")</f>
        <v>88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1997</v>
      </c>
      <c r="D18" s="849" t="str">
        <f>IF(ISNUMBER(C18/Datos!BI18),C18/Datos!BI18," - ")</f>
        <v xml:space="preserve"> - </v>
      </c>
      <c r="E18" s="848">
        <f>SUBTOTAL(9,E14:E17)</f>
        <v>469</v>
      </c>
      <c r="F18" s="849">
        <f>IF(ISNUMBER(E18/B18),E18/B18," - ")</f>
        <v>234.5</v>
      </c>
      <c r="G18" s="848">
        <f>SUBTOTAL(9,G14:G17)</f>
        <v>276</v>
      </c>
      <c r="H18" s="849">
        <f>IF(ISNUMBER(G18/B18),G18/B18," - ")</f>
        <v>138</v>
      </c>
      <c r="I18" s="848">
        <f>SUBTOTAL(9,I14:I17)</f>
        <v>2190</v>
      </c>
      <c r="J18" s="849">
        <f>IF(ISNUMBER(I18/B18),I18/B18," - ")</f>
        <v>1095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4526</v>
      </c>
      <c r="D19" s="794" t="str">
        <f>IF(ISNUMBER(C19/Datos!BI19),C19/Datos!BI19," - ")</f>
        <v xml:space="preserve"> - </v>
      </c>
      <c r="E19" s="793">
        <f>SUBTOTAL(9,E9:E18)</f>
        <v>1628</v>
      </c>
      <c r="F19" s="794">
        <f>IF(ISNUMBER(E19/B19),E19/B19," - ")</f>
        <v>814</v>
      </c>
      <c r="G19" s="793">
        <f>SUBTOTAL(9,G9:G18)</f>
        <v>727</v>
      </c>
      <c r="H19" s="794">
        <f>IF(ISNUMBER(G19/B19),G19/B19," - ")</f>
        <v>363.5</v>
      </c>
      <c r="I19" s="793">
        <f>SUBTOTAL(9,I9:I18)</f>
        <v>5427</v>
      </c>
      <c r="J19" s="794">
        <f>IF(ISNUMBER(I19/B19),I19/B19," - ")</f>
        <v>2713.5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VK/Z9ojyoQ2iHXxQjQ3joI77NIbBftXUMmTxUT+FrfP0hbfEdmSWBRdd/0hT3b5WGN9dDfDWYAbahlkY0JDMA==" saltValue="8m70uJyjcJpMITI04e/f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VALVERDE DEL CAMINO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10.000000000000002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87</v>
      </c>
      <c r="AM12" s="689">
        <f>IF(ISNUMBER(Datos!N12+DatosP!N16),Datos!N12+DatosP!N16," - ")</f>
        <v>113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21.609375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1.5357612988152698E-2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31</v>
      </c>
      <c r="AE13" s="938">
        <f t="shared" si="1"/>
        <v>0</v>
      </c>
      <c r="AF13" s="938">
        <f t="shared" si="1"/>
        <v>10</v>
      </c>
      <c r="AG13" s="938">
        <f t="shared" si="1"/>
        <v>0</v>
      </c>
      <c r="AH13" s="938">
        <f t="shared" si="1"/>
        <v>2314</v>
      </c>
      <c r="AI13" s="938">
        <f t="shared" si="1"/>
        <v>0</v>
      </c>
      <c r="AJ13" s="938">
        <f t="shared" si="1"/>
        <v>0</v>
      </c>
      <c r="AK13" s="938">
        <f t="shared" si="1"/>
        <v>0</v>
      </c>
      <c r="AL13" s="938">
        <f t="shared" si="1"/>
        <v>89</v>
      </c>
      <c r="AM13" s="938">
        <f t="shared" si="1"/>
        <v>113</v>
      </c>
      <c r="AN13" s="938">
        <f t="shared" si="1"/>
        <v>0</v>
      </c>
      <c r="AO13" s="938">
        <f t="shared" si="1"/>
        <v>0</v>
      </c>
      <c r="AP13" s="943">
        <f>IF(ISNUMBER(((Datos!L13/Datos!K13)*11)/factor_trimestre),((Datos!L13/Datos!K13)*11)/factor_trimestre," - ")</f>
        <v>22.924939467312349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1.5357612988152698E-2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23.804347826086957</v>
      </c>
      <c r="AQ18" s="943">
        <f>IF(ISNUMBER(((Datos!M18/Datos!L18)*11)/factor_trimestre),((Datos!M18/Datos!L18)*11)/factor_trimestre," - ")</f>
        <v>6.8493150684931503E-2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-0.21176470588235294</v>
      </c>
      <c r="AW18" s="945">
        <f>IF(ISNUMBER((Datos!Q18-Datos!R18)/(Datos!S18-Datos!Q18+Datos!R18)),(Datos!Q18-Datos!R18)/(Datos!S18-Datos!Q18+Datos!R18)," - ")</f>
        <v>-2.7215631542219121E-2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31</v>
      </c>
      <c r="AE19" s="956">
        <f t="shared" si="5"/>
        <v>0</v>
      </c>
      <c r="AF19" s="957">
        <f t="shared" si="5"/>
        <v>10</v>
      </c>
      <c r="AG19" s="957">
        <f t="shared" si="5"/>
        <v>0</v>
      </c>
      <c r="AH19" s="957">
        <f t="shared" si="5"/>
        <v>2314</v>
      </c>
      <c r="AI19" s="957">
        <f t="shared" si="5"/>
        <v>0</v>
      </c>
      <c r="AJ19" s="958">
        <f t="shared" si="5"/>
        <v>0</v>
      </c>
      <c r="AK19" s="958">
        <f t="shared" si="5"/>
        <v>0</v>
      </c>
      <c r="AL19" s="950">
        <f t="shared" si="5"/>
        <v>89</v>
      </c>
      <c r="AM19" s="950">
        <f t="shared" si="5"/>
        <v>113</v>
      </c>
      <c r="AN19" s="950">
        <f t="shared" si="5"/>
        <v>0</v>
      </c>
      <c r="AO19" s="950">
        <f t="shared" si="5"/>
        <v>0</v>
      </c>
      <c r="AP19" s="950">
        <f>IF(ISNUMBER(((Datos!L19/Datos!K19)*11)/factor_trimestre),((Datos!L19/Datos!K19)*11)/factor_trimestre," - ")</f>
        <v>23.277213352685052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7.1912013536379014E-3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50.242744086418426</v>
      </c>
      <c r="AM21" s="735"/>
      <c r="AN21" s="735">
        <f>IF(ISNUMBER(STDEV(AN8:AN18)),STDEV(AN8:AN18),"-")</f>
        <v>0</v>
      </c>
      <c r="AO21" s="741">
        <f>IF(ISNUMBER(STDEV(AO8:AO18)),STDEV(AO8:AO18),"-")</f>
        <v>0</v>
      </c>
      <c r="AP21" s="778">
        <f>IF(ISNUMBER(STDEV(AP8:AP18)),STDEV(AP8:AP18),"-")</f>
        <v>6.4531235438371342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CqBTe4TeYuWi2YhBPgSG+yzhVCHb7uYOfFhC/3Xj45jVQyhdN8hOjvDe8Gjr7ku5UamWwnKiH/pVjuh2yZ1hg==" saltValue="wJgLevcgGdEIplGj6CX8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VALVERDE DEL CAMINO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1lJCAp4PHMdn2wTQgDVuqgqzDtUWct2c1uTv9Fwg2DisVgMveYSJFV24SgH+pnbWa55p9mHlBUP70NraJ3n1w==" saltValue="z2ZNyYQSmFs5sQrOPQHe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VALVERDE DEL CAMINO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87</v>
      </c>
      <c r="E12" s="403">
        <f t="shared" si="0"/>
        <v>43.5</v>
      </c>
      <c r="F12" s="402">
        <f>IF(ISNUMBER(Datos!N12),Datos!N12," - ")</f>
        <v>113</v>
      </c>
      <c r="G12" s="403">
        <f t="shared" si="1"/>
        <v>56.5</v>
      </c>
      <c r="H12" s="402">
        <f>IF(ISNUMBER(Datos!O12),Datos!O12," - ")</f>
        <v>244</v>
      </c>
      <c r="I12" s="403">
        <f t="shared" si="2"/>
        <v>122</v>
      </c>
      <c r="BZ12" s="1185">
        <f>Datos!EZ12</f>
        <v>0</v>
      </c>
    </row>
    <row r="13" spans="1:78" ht="14.25" thickTop="1" thickBot="1">
      <c r="A13" s="847" t="str">
        <f>Datos!A13</f>
        <v>TOTAL</v>
      </c>
      <c r="B13" s="848">
        <f>Datos!AP13</f>
        <v>2</v>
      </c>
      <c r="C13" s="850">
        <f>Datos!AR13</f>
        <v>2</v>
      </c>
      <c r="D13" s="848">
        <f>SUBTOTAL(9,D9:D12)</f>
        <v>89</v>
      </c>
      <c r="E13" s="849">
        <f t="shared" si="0"/>
        <v>44.5</v>
      </c>
      <c r="F13" s="848">
        <f>SUBTOTAL(9,F9:F12)</f>
        <v>113</v>
      </c>
      <c r="G13" s="849">
        <f t="shared" si="1"/>
        <v>56.5</v>
      </c>
      <c r="H13" s="848">
        <f>SUBTOTAL(9,H9:H12)</f>
        <v>244</v>
      </c>
      <c r="I13" s="849">
        <f>IF(ISNUMBER(H13/B13),H13/B13," - ")</f>
        <v>122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45</v>
      </c>
      <c r="E16" s="403">
        <f t="shared" si="3"/>
        <v>22.5</v>
      </c>
      <c r="F16" s="402">
        <f>IF(ISNUMBER(Datos!N16),Datos!N16," - ")</f>
        <v>151</v>
      </c>
      <c r="G16" s="403">
        <f t="shared" si="4"/>
        <v>75.5</v>
      </c>
      <c r="H16" s="402">
        <f>IF(ISNUMBER(Datos!O16),Datos!O16," - ")</f>
        <v>25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50</v>
      </c>
      <c r="E18" s="849">
        <f t="shared" si="3"/>
        <v>25</v>
      </c>
      <c r="F18" s="848">
        <f>SUBTOTAL(9,F15:F17)</f>
        <v>165</v>
      </c>
      <c r="G18" s="849">
        <f t="shared" si="4"/>
        <v>82.5</v>
      </c>
      <c r="H18" s="848">
        <f>SUBTOTAL(9,H15:H17)</f>
        <v>25</v>
      </c>
      <c r="I18" s="849">
        <f>IF(ISNUMBER(H18/B18),H18/B18," - ")</f>
        <v>12.5</v>
      </c>
      <c r="BZ18" s="1185"/>
    </row>
    <row r="19" spans="1:78" ht="14.25" thickTop="1" thickBot="1">
      <c r="A19" s="792" t="str">
        <f>Datos!A19</f>
        <v>TOTAL JURISDICCIONES</v>
      </c>
      <c r="B19" s="793">
        <f>Datos!AP19</f>
        <v>2</v>
      </c>
      <c r="C19" s="793">
        <f>Datos!AR19</f>
        <v>2</v>
      </c>
      <c r="D19" s="793">
        <f>SUBTOTAL(9,D8:D18)</f>
        <v>139</v>
      </c>
      <c r="E19" s="794">
        <f>IF(ISNUMBER(D19/B19),D19/B19," - ")</f>
        <v>69.5</v>
      </c>
      <c r="F19" s="793">
        <f>SUBTOTAL(9,F8:F18)</f>
        <v>278</v>
      </c>
      <c r="G19" s="794">
        <f>IF(ISNUMBER(F19/B19),F19/B19," - ")</f>
        <v>139</v>
      </c>
      <c r="H19" s="793">
        <f>SUBTOTAL(9,H8:H18)</f>
        <v>269</v>
      </c>
      <c r="I19" s="794">
        <f>IF(ISNUMBER(H19/B19),H19/B19," - ")</f>
        <v>134.5</v>
      </c>
    </row>
    <row r="22" spans="1:78">
      <c r="A22" s="390" t="str">
        <f>Criterios!A4</f>
        <v>Fecha Informe: 17 mar. 2026</v>
      </c>
    </row>
    <row r="27" spans="1:78">
      <c r="A27" s="413"/>
    </row>
  </sheetData>
  <sheetProtection algorithmName="SHA-512" hashValue="6e1ueVbM/exaZRDDX6HHDrFEjBlJnI3ihGFGEbkb6y4a8RjwlgBkMM63Du59KjzFEOqR9XcZFCu7Hq6C+/Q7dA==" saltValue="Fq4uEFME/KpT3pH7WFw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VALVERDE DEL CAMINO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66</v>
      </c>
      <c r="C12" s="433">
        <f>IF(ISNUMBER(Datos!Q12),Datos!Q12," - ")</f>
        <v>31</v>
      </c>
      <c r="D12" s="407">
        <f>IF(ISNUMBER(Datos!R12),Datos!R12," - ")</f>
        <v>2314</v>
      </c>
    </row>
    <row r="13" spans="1:4" ht="14.25" thickTop="1" thickBot="1">
      <c r="A13" s="847" t="str">
        <f>Datos!A13</f>
        <v>TOTAL</v>
      </c>
      <c r="B13" s="848">
        <f>SUBTOTAL(9,B9:B12)</f>
        <v>66</v>
      </c>
      <c r="C13" s="852">
        <f>SUBTOTAL(9,C9:C12)</f>
        <v>31</v>
      </c>
      <c r="D13" s="850">
        <f>SUBTOTAL(9,D9:D12)</f>
        <v>2314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28</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28</v>
      </c>
      <c r="D18" s="850">
        <f>SUBTOTAL(9,D15:D17)</f>
        <v>67</v>
      </c>
    </row>
    <row r="19" spans="1:4" ht="16.5" customHeight="1" thickTop="1" thickBot="1">
      <c r="A19" s="792" t="str">
        <f>Datos!A19</f>
        <v>TOTAL JURISDICCIONES</v>
      </c>
      <c r="B19" s="797">
        <f>SUBTOTAL(9,B8:B18)</f>
        <v>76</v>
      </c>
      <c r="C19" s="798">
        <f>SUBTOTAL(9,C8:C18)</f>
        <v>59</v>
      </c>
      <c r="D19" s="799">
        <f>SUBTOTAL(9,D8:D18)</f>
        <v>2381</v>
      </c>
    </row>
    <row r="20" spans="1:4" ht="7.5" customHeight="1"/>
    <row r="21" spans="1:4" ht="6" customHeight="1"/>
    <row r="22" spans="1:4">
      <c r="A22" s="390" t="str">
        <f>Criterios!A4</f>
        <v>Fecha Informe: 17 mar. 2026</v>
      </c>
    </row>
    <row r="27" spans="1:4">
      <c r="A27" s="413"/>
    </row>
  </sheetData>
  <sheetProtection algorithmName="SHA-512" hashValue="L3C3lzLtuPDoktgs0vPRF3L48e4umqtl+4lVJpoDXO+gvHSjGpFnoqDvEauh0mVm9CEOTtq1y62hKPHVNYCvcg==" saltValue="GWOBoPI+Mga75uglklWJ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VALVERDE DEL CAMINO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-0.52941176470588236</v>
      </c>
      <c r="C10" s="455">
        <f>IF(ISNUMBER((Datos!J10-Datos!T10)/Datos!T10),(Datos!J10-Datos!T10)/Datos!T10," - ")</f>
        <v>-0.16666666666666666</v>
      </c>
      <c r="D10" s="455">
        <f>IF(ISNUMBER((Datos!K10-Datos!U10)/Datos!U10),(Datos!K10-Datos!U10)/Datos!U10," - ")</f>
        <v>-0.76923076923076927</v>
      </c>
      <c r="E10" s="455">
        <f>IF(ISNUMBER((Datos!L10-Datos!V10)/Datos!V10),(Datos!L10-Datos!V10)/Datos!V10," - ")</f>
        <v>0</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-0.72307692307692306</v>
      </c>
      <c r="I10" s="455">
        <f>IF(ISNUMBER(((NºAsuntos!I10/NºAsuntos!G10)-Datos!BE10)/Datos!BE10),((NºAsuntos!I10/NºAsuntos!G10)-Datos!BE10)/Datos!BE10," - ")</f>
        <v>3.3333333333333335</v>
      </c>
      <c r="J10" s="460">
        <f>IF(ISNUMBER((('Resol  Asuntos'!D10/NºAsuntos!G10)-Datos!BF10)/Datos!BF10),(('Resol  Asuntos'!D10/NºAsuntos!G10)-Datos!BF10)/Datos!BF10," - ")</f>
        <v>3.333333333333333</v>
      </c>
      <c r="K10" s="461">
        <f>IF(ISNUMBER((((NºAsuntos!C10+NºAsuntos!E10)/NºAsuntos!G10)-Datos!BG10)/Datos!BG10),(((NºAsuntos!C10+NºAsuntos!E10)/NºAsuntos!G10)-Datos!BG10)/Datos!BG10," - ")</f>
        <v>1.4492753623188406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0.23578431372549019</v>
      </c>
      <c r="C12" s="455">
        <f>IF(ISNUMBER(
   IF(J_V="SI",(Datos!J12-Datos!T12)/Datos!T12,(Datos!J12+Datos!Z12-(Datos!T12+Datos!AH12))/(Datos!T12+Datos!AH12))
     ),IF(J_V="SI",(Datos!J12-Datos!T12)/Datos!T12,(Datos!J12+Datos!Z12-(Datos!T12+Datos!AH12))/(Datos!T12+Datos!AH12))," - ")</f>
        <v>1.616780045351474</v>
      </c>
      <c r="D12" s="455">
        <f>IF(ISNUMBER(
   IF(J_V="SI",(Datos!K12-Datos!U12)/Datos!U12,(Datos!K12+Datos!AA12-(Datos!U12+Datos!AI12))/(Datos!U12+Datos!AI12))
     ),IF(J_V="SI",(Datos!K12-Datos!U12)/Datos!U12,(Datos!K12+Datos!AA12-(Datos!U12+Datos!AI12))/(Datos!U12+Datos!AI12))," - ")</f>
        <v>0.45928338762214982</v>
      </c>
      <c r="E12" s="455">
        <f>IF(ISNUMBER(
   IF(J_V="SI",(Datos!L12-Datos!V12)/Datos!V12,(Datos!L12+Datos!AB12-(Datos!V12+Datos!AJ12))/(Datos!V12+Datos!AJ12))
     ),IF(J_V="SI",(Datos!L12-Datos!V12)/Datos!V12,(Datos!L12+Datos!AB12-(Datos!V12+Datos!AJ12))/(Datos!V12+Datos!AJ12))," - ")</f>
        <v>0.484360625574977</v>
      </c>
      <c r="F12" s="455">
        <f>IF(ISNUMBER((Datos!M12-Datos!W12)/Datos!W12),(Datos!M12-Datos!W12)/Datos!W12," - ")</f>
        <v>-2.247191011235955E-2</v>
      </c>
      <c r="G12" s="456">
        <f>IF(ISNUMBER((Datos!N12-Datos!X12)/Datos!X12),(Datos!N12-Datos!X12)/Datos!X12," - ")</f>
        <v>0.10784313725490197</v>
      </c>
      <c r="H12" s="454">
        <f>IF(ISNUMBER(((NºAsuntos!G12/NºAsuntos!E12)-Datos!BD12)/Datos!BD12),((NºAsuntos!G12/NºAsuntos!E12)-Datos!BD12)/Datos!BD12," - ")</f>
        <v>-0.44233624441822528</v>
      </c>
      <c r="I12" s="455">
        <f>IF(ISNUMBER(((NºAsuntos!I12/NºAsuntos!G12)-Datos!BE12)/Datos!BE12),((NºAsuntos!I12/NºAsuntos!G12)-Datos!BE12)/Datos!BE12," - ")</f>
        <v>1.718462511499546E-2</v>
      </c>
      <c r="J12" s="460">
        <f>IF(ISNUMBER((('Resol  Asuntos'!D12/NºAsuntos!G12)-Datos!BF12)/Datos!BF12),(('Resol  Asuntos'!D12/NºAsuntos!G12)-Datos!BF12)/Datos!BF12," - ")</f>
        <v>-0.41550682773109238</v>
      </c>
      <c r="K12" s="461">
        <f>IF(ISNUMBER((((NºAsuntos!C12+NºAsuntos!E12)/NºAsuntos!G12)-Datos!BG12)/Datos!BG12),(((NºAsuntos!C12+NºAsuntos!E12)/NºAsuntos!G12)-Datos!BG12)/Datos!BG12," - ")</f>
        <v>1.5058192261184945E-2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0.22946037919299953</v>
      </c>
      <c r="C13" s="854">
        <f>IF(ISNUMBER(
   IF(J_V="SI",(Datos!J13-Datos!T13)/Datos!T13,(Datos!J13+Datos!Z13-(Datos!T13+Datos!AH13))/(Datos!T13+Datos!AH13))
     ),IF(J_V="SI",(Datos!J13-Datos!T13)/Datos!T13,(Datos!J13+Datos!Z13-(Datos!T13+Datos!AH13))/(Datos!T13+Datos!AH13))," - ")</f>
        <v>1.592841163310962</v>
      </c>
      <c r="D13" s="854">
        <f>IF(ISNUMBER(
   IF(J_V="SI",(Datos!K13-Datos!U13)/Datos!U13,(Datos!K13+Datos!AA13-(Datos!U13+Datos!AI13))/(Datos!U13+Datos!AI13))
     ),IF(J_V="SI",(Datos!K13-Datos!U13)/Datos!U13,(Datos!K13+Datos!AA13-(Datos!U13+Datos!AI13))/(Datos!U13+Datos!AI13))," - ")</f>
        <v>0.40937499999999999</v>
      </c>
      <c r="E13" s="854">
        <f>IF(ISNUMBER(
   IF(J_V="SI",(Datos!L13-Datos!V13)/Datos!V13,(Datos!L13+Datos!AB13-(Datos!V13+Datos!AJ13))/(Datos!V13+Datos!AJ13))
     ),IF(J_V="SI",(Datos!L13-Datos!V13)/Datos!V13,(Datos!L13+Datos!AB13-(Datos!V13+Datos!AJ13))/(Datos!V13+Datos!AJ13))," - ")</f>
        <v>0.48214285714285715</v>
      </c>
      <c r="F13" s="855">
        <f>IF(ISNUMBER((Datos!M13-Datos!W13)/Datos!W13),(Datos!M13-Datos!W13)/Datos!W13," - ")</f>
        <v>-2.197802197802198E-2</v>
      </c>
      <c r="G13" s="856">
        <f>IF(ISNUMBER((Datos!N13-Datos!X13)/Datos!X13),(Datos!N13-Datos!X13)/Datos!X13," - ")</f>
        <v>8.6538461538461536E-2</v>
      </c>
      <c r="H13" s="856">
        <f>IF(ISNUMBER(((NºAsuntos!G13/NºAsuntos!E13)-Datos!BD13)/Datos!BD13),((NºAsuntos!G13/NºAsuntos!E13)-Datos!BD13)/Datos!BD13," - ")</f>
        <v>-0.45643604400345122</v>
      </c>
      <c r="I13" s="856">
        <f>IF(ISNUMBER(((NºAsuntos!I13/NºAsuntos!G13)-Datos!BE13)/Datos!BE13),((NºAsuntos!I13/NºAsuntos!G13)-Datos!BE13)/Datos!BE13," - ")</f>
        <v>5.1631295533734578E-2</v>
      </c>
      <c r="J13" s="856">
        <f>IF(ISNUMBER((('Resol  Asuntos'!D13/NºAsuntos!G13)-Datos!BF13)/Datos!BF13),(('Resol  Asuntos'!D13/NºAsuntos!G13)-Datos!BF13)/Datos!BF13," - ")</f>
        <v>-0.39280231963158796</v>
      </c>
      <c r="K13" s="856">
        <f>IF(ISNUMBER((((NºAsuntos!C13+NºAsuntos!E13)/NºAsuntos!G13)-Datos!BG13)/Datos!BG13),(((NºAsuntos!C13+NºAsuntos!E13)/NºAsuntos!G13)-Datos!BG13)/Datos!BG13," - ")</f>
        <v>4.503304690322537E-2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0.42622950819672129</v>
      </c>
      <c r="C16" s="455">
        <f>IF(ISNUMBER(
   IF(D_I="SI",(Datos!J16-Datos!T16)/Datos!T16,(Datos!J16+Datos!AD16-(Datos!T16+Datos!AL16))/(Datos!T16+Datos!AL16))
     ),IF(D_I="SI",(Datos!J16-Datos!T16)/Datos!T16,(Datos!J16+Datos!AD16-(Datos!T16+Datos!AL16))/(Datos!T16+Datos!AL16))," - ")</f>
        <v>-0.38095238095238093</v>
      </c>
      <c r="D16" s="455">
        <f>IF(ISNUMBER(
   IF(D_I="SI",(Datos!K16-Datos!U16)/Datos!U16,(Datos!K16+Datos!AE16-(Datos!U16+Datos!AM16))/(Datos!U16+Datos!AM16))
     ),IF(D_I="SI",(Datos!K16-Datos!U16)/Datos!U16,(Datos!K16+Datos!AE16-(Datos!U16+Datos!AM16))/(Datos!U16+Datos!AM16))," - ")</f>
        <v>-0.59424920127795522</v>
      </c>
      <c r="E16" s="455">
        <f>IF(ISNUMBER(
   IF(D_I="SI",(Datos!L16-Datos!V16)/Datos!V16,(Datos!L16+Datos!AF16-(Datos!V16+Datos!AN16))/(Datos!V16+Datos!AN16))
     ),IF(D_I="SI",(Datos!L16-Datos!V16)/Datos!V16,(Datos!L16+Datos!AF16-(Datos!V16+Datos!AN16))/(Datos!V16+Datos!AN16))," - ")</f>
        <v>0.46993006993006992</v>
      </c>
      <c r="F16" s="455">
        <f>IF(ISNUMBER((Datos!M16-Datos!W16)/Datos!W16),(Datos!M16-Datos!W16)/Datos!W16," - ")</f>
        <v>-0.13461538461538461</v>
      </c>
      <c r="G16" s="456">
        <f>IF(ISNUMBER((Datos!N16-Datos!X16)/Datos!X16),(Datos!N16-Datos!X16)/Datos!X16," - ")</f>
        <v>-0.65914221218961622</v>
      </c>
      <c r="H16" s="454">
        <f>IF(ISNUMBER(((NºAsuntos!G16/NºAsuntos!E16)-Datos!BD16)/Datos!BD16),((NºAsuntos!G16/NºAsuntos!E16)-Datos!BD16)/Datos!BD16," - ")</f>
        <v>-0.34455640206438931</v>
      </c>
      <c r="I16" s="455">
        <f>IF(ISNUMBER(((NºAsuntos!I16/NºAsuntos!G16)-Datos!BE16)/Datos!BE16),((NºAsuntos!I16/NºAsuntos!G16)-Datos!BE16)/Datos!BE16," - ")</f>
        <v>2.6227410384890697</v>
      </c>
      <c r="J16" s="460">
        <f>IF(ISNUMBER((('Resol  Asuntos'!D16/NºAsuntos!G16)-Datos!BF16)/Datos!BF16),(('Resol  Asuntos'!D16/NºAsuntos!G16)-Datos!BF16)/Datos!BF16," - ")</f>
        <v>1.1327983040581466</v>
      </c>
      <c r="K16" s="461">
        <f>IF(ISNUMBER((((NºAsuntos!C16+NºAsuntos!E16)/NºAsuntos!G16)-Datos!BG16)/Datos!BG16),(((NºAsuntos!C16+NºAsuntos!E16)/NºAsuntos!G16)-Datos!BG16)/Datos!BG16," - ")</f>
        <v>1.824182726186464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0.59615384615384615</v>
      </c>
      <c r="C17" s="455">
        <f>IF(ISNUMBER(
   IF(D_I="SI",(Datos!J17-Datos!T17)/Datos!T17,(Datos!J17+Datos!AD17-(Datos!T17+Datos!AL17))/(Datos!T17+Datos!AL17))
     ),IF(D_I="SI",(Datos!J17-Datos!T17)/Datos!T17,(Datos!J17+Datos!AD17-(Datos!T17+Datos!AL17))/(Datos!T17+Datos!AL17))," - ")</f>
        <v>-0.25</v>
      </c>
      <c r="D17" s="455">
        <f>IF(ISNUMBER(
   IF(D_I="SI",(Datos!K17-Datos!U17)/Datos!U17,(Datos!K17+Datos!AE17-(Datos!U17+Datos!AM17))/(Datos!U17+Datos!AM17))
     ),IF(D_I="SI",(Datos!K17-Datos!U17)/Datos!U17,(Datos!K17+Datos!AE17-(Datos!U17+Datos!AM17))/(Datos!U17+Datos!AM17))," - ")</f>
        <v>-0.21428571428571427</v>
      </c>
      <c r="E17" s="455">
        <f>IF(ISNUMBER(
   IF(D_I="SI",(Datos!L17-Datos!V17)/Datos!V17,(Datos!L17+Datos!AF17-(Datos!V17+Datos!AN17))/(Datos!V17+Datos!AN17))
     ),IF(D_I="SI",(Datos!L17-Datos!V17)/Datos!V17,(Datos!L17+Datos!AF17-(Datos!V17+Datos!AN17))/(Datos!V17+Datos!AN17))," - ")</f>
        <v>0.41935483870967744</v>
      </c>
      <c r="F17" s="455">
        <f>IF(ISNUMBER((Datos!M17-Datos!W17)/Datos!W17),(Datos!M17-Datos!W17)/Datos!W17," - ")</f>
        <v>-0.16666666666666666</v>
      </c>
      <c r="G17" s="456">
        <f>IF(ISNUMBER((Datos!N17-Datos!X17)/Datos!X17),(Datos!N17-Datos!X17)/Datos!X17," - ")</f>
        <v>-0.46153846153846156</v>
      </c>
      <c r="H17" s="454">
        <f>IF(ISNUMBER(((NºAsuntos!G17/NºAsuntos!E17)-Datos!BD17)/Datos!BD17),((NºAsuntos!G17/NºAsuntos!E17)-Datos!BD17)/Datos!BD17," - ")</f>
        <v>4.7619047619047547E-2</v>
      </c>
      <c r="I17" s="455">
        <f>IF(ISNUMBER(((NºAsuntos!I17/NºAsuntos!G17)-Datos!BE17)/Datos!BE17),((NºAsuntos!I17/NºAsuntos!G17)-Datos!BE17)/Datos!BE17," - ")</f>
        <v>0.80645161290322576</v>
      </c>
      <c r="J17" s="460">
        <f>IF(ISNUMBER((('Resol  Asuntos'!D17/NºAsuntos!G17)-Datos!BF17)/Datos!BF17),(('Resol  Asuntos'!D17/NºAsuntos!G17)-Datos!BF17)/Datos!BF17," - ")</f>
        <v>6.0606060606060629E-2</v>
      </c>
      <c r="K17" s="461">
        <f>IF(ISNUMBER((((NºAsuntos!C17+NºAsuntos!E17)/NºAsuntos!G17)-Datos!BG17)/Datos!BG17),(((NºAsuntos!C17+NºAsuntos!E17)/NºAsuntos!G17)-Datos!BG17)/Datos!BG17," - ")</f>
        <v>0.59090909090909094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0.43256814921090386</v>
      </c>
      <c r="C18" s="854">
        <f>IF(ISNUMBER(
   IF(Criterios!B14="SI",(Datos!J18-Datos!T18)/Datos!T18,(Datos!J18+Datos!AD18-(Datos!T18+Datos!AL18))/(Datos!T18+Datos!AL18))
     ),IF(Criterios!B14="SI",(Datos!J18-Datos!T18)/Datos!T18,(Datos!J18+Datos!AD18-(Datos!T18+Datos!AL18))/(Datos!T18+Datos!AL18))," - ")</f>
        <v>-0.37466666666666665</v>
      </c>
      <c r="D18" s="854">
        <f>IF(ISNUMBER(
   IF(Criterios!B14="SI",(Datos!K18-Datos!U18)/Datos!U18,(Datos!K18+Datos!AE18-(Datos!U18+Datos!AM18))/(Datos!U18+Datos!AM18))
     ),IF(Criterios!B14="SI",(Datos!K18-Datos!U18)/Datos!U18,(Datos!K18+Datos!AE18-(Datos!U18+Datos!AM18))/(Datos!U18+Datos!AM18))," - ")</f>
        <v>-0.57798165137614677</v>
      </c>
      <c r="E18" s="854">
        <f>IF(ISNUMBER(
   IF(Criterios!B14="SI",(Datos!L18-Datos!V18)/Datos!V18,(Datos!L18+Datos!AF18-(Datos!V18+Datos!AN18))/(Datos!V18+Datos!AN18))
     ),IF(Criterios!B14="SI",(Datos!L18-Datos!V18)/Datos!V18,(Datos!L18+Datos!AF18-(Datos!V18+Datos!AN18))/(Datos!V18+Datos!AN18))," - ")</f>
        <v>0.46782841823056298</v>
      </c>
      <c r="F18" s="855">
        <f>IF(ISNUMBER((Datos!M18-Datos!W18)/Datos!W18),(Datos!M18-Datos!W18)/Datos!W18," - ")</f>
        <v>-0.13793103448275862</v>
      </c>
      <c r="G18" s="856">
        <f>IF(ISNUMBER((Datos!N18-Datos!X18)/Datos!X18),(Datos!N18-Datos!X18)/Datos!X18," - ")</f>
        <v>-0.64818763326226014</v>
      </c>
      <c r="H18" s="856">
        <f>IF(ISNUMBER(((NºAsuntos!G18/NºAsuntos!E18)-Datos!BD18)/Datos!BD18),((NºAsuntos!G18/NºAsuntos!E18)-Datos!BD18)/Datos!BD18," - ")</f>
        <v>-0.3251305725631346</v>
      </c>
      <c r="I18" s="856">
        <f>IF(ISNUMBER(((NºAsuntos!I18/NºAsuntos!G18)-Datos!BE18)/Datos!BE18),((NºAsuntos!I18/NºAsuntos!G18)-Datos!BE18)/Datos!BE18," - ")</f>
        <v>2.4781151649376385</v>
      </c>
      <c r="J18" s="856">
        <f>IF(ISNUMBER((('Resol  Asuntos'!D18/NºAsuntos!G18)-Datos!BF18)/Datos!BF18),(('Resol  Asuntos'!D18/NºAsuntos!G18)-Datos!BF18)/Datos!BF18," - ")</f>
        <v>1.042728635682159</v>
      </c>
      <c r="K18" s="856">
        <f>IF(ISNUMBER((((NºAsuntos!C18+NºAsuntos!E18)/NºAsuntos!G18)-Datos!BG18)/Datos!BG18),(((NºAsuntos!C18+NºAsuntos!E18)/NºAsuntos!G18)-Datos!BG18)/Datos!BG18," - ")</f>
        <v>1.725442083062946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0.31150391190959142</v>
      </c>
      <c r="C19" s="801">
        <f>IF(ISNUMBER(
   IF(J_V="SI",(Datos!J19-Datos!T19)/Datos!T19,(Datos!J19+Datos!Z19-(Datos!T19+Datos!AH19))/(Datos!T19+Datos!AH19))
     ),IF(J_V="SI",(Datos!J19-Datos!T19)/Datos!T19,(Datos!J19+Datos!Z19-(Datos!T19+Datos!AH19))/(Datos!T19+Datos!AH19))," - ")</f>
        <v>0.36006683375104426</v>
      </c>
      <c r="D19" s="801">
        <f>IF(ISNUMBER(
   IF(J_V="SI",(Datos!K19-Datos!U19)/Datos!U19,(Datos!K19+Datos!AA19-(Datos!U19+Datos!AI19))/(Datos!U19+Datos!AI19))
     ),IF(J_V="SI",(Datos!K19-Datos!U19)/Datos!U19,(Datos!K19+Datos!AA19-(Datos!U19+Datos!AI19))/(Datos!U19+Datos!AI19))," - ")</f>
        <v>-0.25359342915811089</v>
      </c>
      <c r="E19" s="801">
        <f>IF(ISNUMBER(
   IF(J_V="SI",(Datos!L19-Datos!V19)/Datos!V19,(Datos!L19+Datos!AB19-(Datos!V19+Datos!AJ19))/(Datos!V19+Datos!AJ19))
     ),IF(J_V="SI",(Datos!L19-Datos!V19)/Datos!V19,(Datos!L19+Datos!AB19-(Datos!V19+Datos!AJ19))/(Datos!V19+Datos!AJ19))," - ")</f>
        <v>0.47633297062023938</v>
      </c>
      <c r="F19" s="802">
        <f>IF(ISNUMBER((Datos!M19-Datos!W19)/Datos!W19),(Datos!M19-Datos!W19)/Datos!W19," - ")</f>
        <v>-6.7114093959731544E-2</v>
      </c>
      <c r="G19" s="803">
        <f>IF(ISNUMBER((Datos!N19-Datos!X19)/Datos!X19),(Datos!N19-Datos!X19)/Datos!X19," - ")</f>
        <v>-0.51483420593368234</v>
      </c>
      <c r="H19" s="804">
        <f>IF(ISNUMBER((Tasas!B19-Datos!BD19)/Datos!BD19),(Tasas!B19-Datos!BD19)/Datos!BD19," - ")</f>
        <v>-0.45119860853947091</v>
      </c>
      <c r="I19" s="805">
        <f>IF(ISNUMBER((Tasas!C19-Datos!BE19)/Datos!BE19),(Tasas!C19-Datos!BE19)/Datos!BE19," - ")</f>
        <v>0.97792065114733573</v>
      </c>
      <c r="J19" s="806">
        <f>IF(ISNUMBER((Tasas!D19-Datos!BF19)/Datos!BF19),(Tasas!D19-Datos!BF19)/Datos!BF19," - ")</f>
        <v>0.14954064564335087</v>
      </c>
      <c r="K19" s="806">
        <f>IF(ISNUMBER((Tasas!E19-Datos!BG19)/Datos!BG19),(Tasas!E19-Datos!BG19)/Datos!BG19," - ")</f>
        <v>0.77384602272323721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Ekj1rn8LzcHDCF3/mO0Bit+2O6583LuvwdDOXHRvh4a1l5Rfdb/Hd8SfWRNba8Ae4xYgDLPCrjjXFeFA1LD1g==" saltValue="XYAOI9kyYuP0jeewHXfy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VALVERDE DEL CAMINO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3.3333333333333335</v>
      </c>
      <c r="D10" s="443">
        <f>IF(ISNUMBER('Resol  Asuntos'!D10/NºAsuntos!G10),'Resol  Asuntos'!D10/NºAsuntos!G10," - ")</f>
        <v>0.66666666666666663</v>
      </c>
      <c r="E10" s="444">
        <f>IF(ISNUMBER((NºAsuntos!C10+NºAsuntos!E10)/NºAsuntos!G10),(NºAsuntos!C10+NºAsuntos!E10)/NºAsuntos!G10," - ")</f>
        <v>4.333333333333333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0.38821490467937608</v>
      </c>
      <c r="C12" s="442">
        <f>IF(ISNUMBER(NºAsuntos!I12/NºAsuntos!G12),NºAsuntos!I12/NºAsuntos!G12," - ")</f>
        <v>7.203125</v>
      </c>
      <c r="D12" s="443">
        <f>IF(ISNUMBER('Resol  Asuntos'!D12/NºAsuntos!G12),'Resol  Asuntos'!D12/NºAsuntos!G12," - ")</f>
        <v>0.19419642857142858</v>
      </c>
      <c r="E12" s="444">
        <f>IF(ISNUMBER((NºAsuntos!C12+NºAsuntos!E12)/NºAsuntos!G12),(NºAsuntos!C12+NºAsuntos!E12)/NºAsuntos!G12," - ")</f>
        <v>8.203125</v>
      </c>
      <c r="G12" s="462"/>
    </row>
    <row r="13" spans="1:7" ht="14.25" thickTop="1" thickBot="1">
      <c r="A13" s="847" t="str">
        <f>Datos!A13</f>
        <v>TOTAL</v>
      </c>
      <c r="B13" s="857">
        <f>IF(ISNUMBER(NºAsuntos!G13/NºAsuntos!E13),NºAsuntos!G13/NºAsuntos!E13," - ")</f>
        <v>0.38912855910267474</v>
      </c>
      <c r="C13" s="858">
        <f>IF(ISNUMBER(NºAsuntos!I13/NºAsuntos!G13),NºAsuntos!I13/NºAsuntos!G13," - ")</f>
        <v>7.1773835920177387</v>
      </c>
      <c r="D13" s="859">
        <f>IF(ISNUMBER('Resol  Asuntos'!D13/NºAsuntos!G13),'Resol  Asuntos'!D13/NºAsuntos!G13," - ")</f>
        <v>0.19733924611973391</v>
      </c>
      <c r="E13" s="860">
        <f>IF(ISNUMBER((NºAsuntos!C13+NºAsuntos!E13)/NºAsuntos!G13),(NºAsuntos!C13+NºAsuntos!E13)/NºAsuntos!G13," - ")</f>
        <v>8.1773835920177387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0.57466063348416285</v>
      </c>
      <c r="C16" s="442">
        <f>IF(ISNUMBER(NºAsuntos!I16/NºAsuntos!G16),NºAsuntos!I16/NºAsuntos!G16," - ")</f>
        <v>8.2755905511811019</v>
      </c>
      <c r="D16" s="443">
        <f>IF(ISNUMBER('Resol  Asuntos'!D16/NºAsuntos!G16),'Resol  Asuntos'!D16/NºAsuntos!G16," - ")</f>
        <v>0.17716535433070865</v>
      </c>
      <c r="E16" s="444">
        <f>IF(ISNUMBER((NºAsuntos!C16+NºAsuntos!E16)/NºAsuntos!G16),(NºAsuntos!C16+NºAsuntos!E16)/NºAsuntos!G16," - ")</f>
        <v>9.2755905511811019</v>
      </c>
      <c r="G16" s="462"/>
    </row>
    <row r="17" spans="1:7" ht="21.75" thickBot="1">
      <c r="A17" s="401" t="str">
        <f>Datos!A17</f>
        <v>Jdos. Violencia contra la mujer/Secc Viol. TI.</v>
      </c>
      <c r="B17" s="441">
        <f>IF(ISNUMBER(NºAsuntos!G17/NºAsuntos!E17),NºAsuntos!G17/NºAsuntos!E17," - ")</f>
        <v>0.81481481481481477</v>
      </c>
      <c r="C17" s="442">
        <f>IF(ISNUMBER(NºAsuntos!I17/NºAsuntos!G17),NºAsuntos!I17/NºAsuntos!G17," - ")</f>
        <v>4</v>
      </c>
      <c r="D17" s="443">
        <f>IF(ISNUMBER('Resol  Asuntos'!D17/NºAsuntos!G17),'Resol  Asuntos'!D17/NºAsuntos!G17," - ")</f>
        <v>0.22727272727272727</v>
      </c>
      <c r="E17" s="444">
        <f>IF(ISNUMBER((NºAsuntos!C17+NºAsuntos!E17)/NºAsuntos!G17),(NºAsuntos!C17+NºAsuntos!E17)/NºAsuntos!G17," - ")</f>
        <v>5</v>
      </c>
      <c r="G17" s="462"/>
    </row>
    <row r="18" spans="1:7" ht="14.25" thickTop="1" thickBot="1">
      <c r="A18" s="847" t="str">
        <f>Datos!A18</f>
        <v>TOTAL</v>
      </c>
      <c r="B18" s="857">
        <f>IF(ISNUMBER(NºAsuntos!G18/NºAsuntos!E18),NºAsuntos!G18/NºAsuntos!E18," - ")</f>
        <v>0.58848614072494665</v>
      </c>
      <c r="C18" s="858">
        <f>IF(ISNUMBER(NºAsuntos!I18/NºAsuntos!G18),NºAsuntos!I18/NºAsuntos!G18," - ")</f>
        <v>7.9347826086956523</v>
      </c>
      <c r="D18" s="861">
        <f>IF(ISNUMBER('Resol  Asuntos'!D18/NºAsuntos!G18),'Resol  Asuntos'!D18/NºAsuntos!G18," - ")</f>
        <v>0.18115942028985507</v>
      </c>
      <c r="E18" s="860">
        <f>IF(ISNUMBER((NºAsuntos!C18+NºAsuntos!E18)/NºAsuntos!G18),(NºAsuntos!C18+NºAsuntos!E18)/NºAsuntos!G18," - ")</f>
        <v>8.9347826086956523</v>
      </c>
      <c r="G18" s="462"/>
    </row>
    <row r="19" spans="1:7" ht="15.75" customHeight="1" thickTop="1" thickBot="1">
      <c r="A19" s="792" t="str">
        <f>Datos!A19</f>
        <v>TOTAL JURISDICCIONES</v>
      </c>
      <c r="B19" s="807">
        <f>IF(ISNUMBER(NºAsuntos!G19/NºAsuntos!E19),NºAsuntos!G19/NºAsuntos!E19," - ")</f>
        <v>0.44656019656019658</v>
      </c>
      <c r="C19" s="808">
        <f>IF(ISNUMBER(NºAsuntos!I19/NºAsuntos!G19),NºAsuntos!I19/NºAsuntos!G19," - ")</f>
        <v>7.4649243466299859</v>
      </c>
      <c r="D19" s="809">
        <f>IF(ISNUMBER('Resol  Asuntos'!D19/NºAsuntos!G19),'Resol  Asuntos'!D19/NºAsuntos!G19," - ")</f>
        <v>0.19119669876203577</v>
      </c>
      <c r="E19" s="810">
        <f>IF(ISNUMBER((NºAsuntos!C19+NºAsuntos!E19)/NºAsuntos!G19),(NºAsuntos!C19+NºAsuntos!E19)/NºAsuntos!G19," - ")</f>
        <v>8.4649243466299868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jaM1k7of+k9Xywr+U5Yfw9x1nOJ+cSKbjF7/meM69t4kT4RaLVsKOfRG6WJKSpFR/1ffMVyLbnSvdEVDVoIVg==" saltValue="HQeHIpl7Eb90CY3XKwZK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VALVERDE DEL CAMINO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10</v>
      </c>
      <c r="AB10" s="333">
        <f>IF(ISNUMBER(Datos!R10),Datos!R10," - ")</f>
        <v>0</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10.000000000000002</v>
      </c>
      <c r="AN10" s="243">
        <f>IF(ISNUMBER('Resol  Asuntos'!D10/NºAsuntos!G10),'Resol  Asuntos'!D10/NºAsuntos!G10," - ")</f>
        <v>0.66666666666666663</v>
      </c>
      <c r="AO10" s="244">
        <f>IF(ISNUMBER((NºAsuntos!C10+NºAsuntos!E10)/NºAsuntos!G10),(NºAsuntos!C10+NºAsuntos!E10)/NºAsuntos!G10," - ")</f>
        <v>4.333333333333333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v>
      </c>
      <c r="AJ12" s="228" t="str">
        <f>IF(ISNUMBER(Datos!BW12),Datos!BW12," - ")</f>
        <v xml:space="preserve"> - </v>
      </c>
      <c r="AK12" s="227" t="str">
        <f>IF(ISNUMBER(Datos!BX12),Datos!BX12," - ")</f>
        <v xml:space="preserve"> - </v>
      </c>
      <c r="AL12" s="242">
        <f>IF(ISNUMBER(NºAsuntos!G12/NºAsuntos!E12),NºAsuntos!G12/NºAsuntos!E12," - ")</f>
        <v>0.38821490467937608</v>
      </c>
      <c r="AM12" s="259">
        <f>IF(ISNUMBER(((NºAsuntos!I12/NºAsuntos!G12)*11)/factor_trimestre),((NºAsuntos!I12/NºAsuntos!G12)*11)/factor_trimestre," - ")</f>
        <v>21.609375</v>
      </c>
      <c r="AN12" s="243">
        <f>IF(ISNUMBER('Resol  Asuntos'!D12/NºAsuntos!G12),'Resol  Asuntos'!D12/NºAsuntos!G12," - ")</f>
        <v>0.19419642857142858</v>
      </c>
      <c r="AO12" s="244">
        <f>IF(ISNUMBER((NºAsuntos!C12+NºAsuntos!E12)/NºAsuntos!G12),(NºAsuntos!C12+NºAsuntos!E12)/NºAsuntos!G12," - ")</f>
        <v>8.203125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31</v>
      </c>
      <c r="Y13" s="867">
        <f t="shared" si="4"/>
        <v>34</v>
      </c>
      <c r="Z13" s="867">
        <f t="shared" si="4"/>
        <v>0</v>
      </c>
      <c r="AA13" s="867">
        <f t="shared" si="4"/>
        <v>10</v>
      </c>
      <c r="AB13" s="867">
        <f t="shared" si="4"/>
        <v>2314</v>
      </c>
      <c r="AC13" s="867">
        <f t="shared" si="4"/>
        <v>10</v>
      </c>
      <c r="AD13" s="867">
        <f t="shared" si="4"/>
        <v>0</v>
      </c>
      <c r="AE13" s="871">
        <f t="shared" si="4"/>
        <v>0</v>
      </c>
      <c r="AF13" s="864">
        <f t="shared" si="4"/>
        <v>0</v>
      </c>
      <c r="AG13" s="872">
        <f t="shared" si="4"/>
        <v>0</v>
      </c>
      <c r="AH13" s="869">
        <f t="shared" si="4"/>
        <v>0</v>
      </c>
      <c r="AI13" s="864">
        <f t="shared" si="4"/>
        <v>89</v>
      </c>
      <c r="AJ13" s="866">
        <f t="shared" si="4"/>
        <v>0</v>
      </c>
      <c r="AK13" s="869">
        <f>SUBTOTAL(9,AK9:AK12)</f>
        <v>0</v>
      </c>
      <c r="AL13" s="873">
        <f>IF(ISNUMBER(NºAsuntos!G13/NºAsuntos!E13),NºAsuntos!G13/NºAsuntos!E13," - ")</f>
        <v>0.38912855910267474</v>
      </c>
      <c r="AM13" s="873">
        <f>IF(ISNUMBER(((NºAsuntos!I13/NºAsuntos!G13)*11)/factor_trimestre),((NºAsuntos!I13/NºAsuntos!G13)*11)/factor_trimestre," - ")</f>
        <v>21.532150776053218</v>
      </c>
      <c r="AN13" s="874">
        <f>IF(ISNUMBER('Resol  Asuntos'!D13/NºAsuntos!G13),'Resol  Asuntos'!D13/NºAsuntos!G13," - ")</f>
        <v>0.19733924611973391</v>
      </c>
      <c r="AO13" s="875">
        <f>IF(ISNUMBER((NºAsuntos!C13+NºAsuntos!E13)/NºAsuntos!G13),(NºAsuntos!C13+NºAsuntos!E13)/NºAsuntos!G13," - ")</f>
        <v>8.1773835920177387</v>
      </c>
      <c r="AP13" s="876" t="str">
        <f t="shared" si="2"/>
        <v xml:space="preserve"> - </v>
      </c>
      <c r="AQ13" s="876">
        <f>IF(ISNUMBER((H13-W13+K13)/(F13)),(H13-W13+K13)/(F13)," - ")</f>
        <v>-0.375</v>
      </c>
      <c r="AR13" s="877">
        <f>IF(ISNUMBER((Datos!P13-Datos!Q13)/(Datos!R13-Datos!P13+Datos!Q13)),(Datos!P13-Datos!Q13)/(Datos!R13-Datos!P13+Datos!Q13)," - ")</f>
        <v>1.5357612988152698E-2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1914</v>
      </c>
      <c r="G16" s="332">
        <f>IF(ISNUMBER(IF(D_I="SI",Datos!I16,Datos!I16+Datos!AC16)),IF(D_I="SI",Datos!I16,Datos!I16+Datos!AC16)," - ")</f>
        <v>1914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254</v>
      </c>
      <c r="X16" s="225">
        <f>IF(ISNUMBER(Datos!Q16),Datos!Q16," - ")</f>
        <v>28</v>
      </c>
      <c r="Y16" s="333">
        <f t="shared" ref="Y16:Y17" si="7">SUM(W16:X16)</f>
        <v>282</v>
      </c>
      <c r="Z16" s="334" t="str">
        <f>IF(ISNUMBER(Datos!CC16),Datos!CC16," - ")</f>
        <v xml:space="preserve"> - </v>
      </c>
      <c r="AA16" s="331">
        <f>IF(ISNUMBER(IF(D_I="SI",Datos!L16,Datos!L16+Datos!AF16)),IF(D_I="SI",Datos!L16,Datos!L16+Datos!AF16)," - ")</f>
        <v>2102</v>
      </c>
      <c r="AB16" s="333">
        <f>IF(ISNUMBER(Datos!R16),Datos!R16," - ")</f>
        <v>67</v>
      </c>
      <c r="AC16" s="333">
        <f t="shared" si="6"/>
        <v>2169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45</v>
      </c>
      <c r="AJ16" s="230" t="str">
        <f>IF(ISNUMBER(Datos!BW16),Datos!BW16," - ")</f>
        <v xml:space="preserve"> - </v>
      </c>
      <c r="AK16" s="231" t="str">
        <f>IF(ISNUMBER(Datos!BX16),Datos!BX16," - ")</f>
        <v xml:space="preserve"> - </v>
      </c>
      <c r="AL16" s="242">
        <f>IF(ISNUMBER(NºAsuntos!G16/NºAsuntos!E16),NºAsuntos!G16/NºAsuntos!E16," - ")</f>
        <v>0.57466063348416285</v>
      </c>
      <c r="AM16" s="259">
        <f>IF(ISNUMBER(((NºAsuntos!I16/NºAsuntos!G16)*11)/factor_trimestre),((NºAsuntos!I16/NºAsuntos!G16)*11)/factor_trimestre," - ")</f>
        <v>24.826771653543307</v>
      </c>
      <c r="AN16" s="243">
        <f>IF(ISNUMBER('Resol  Asuntos'!D16/NºAsuntos!G16),'Resol  Asuntos'!D16/NºAsuntos!G16," - ")</f>
        <v>0.17716535433070865</v>
      </c>
      <c r="AO16" s="244">
        <f>IF(ISNUMBER((NºAsuntos!C16+NºAsuntos!E16)/NºAsuntos!G16),(NºAsuntos!C16+NºAsuntos!E16)/NºAsuntos!G16," - ")</f>
        <v>9.2755905511811019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88</v>
      </c>
      <c r="AB17" s="333">
        <f>IF(ISNUMBER(Datos!R17),Datos!R17," - ")</f>
        <v>0</v>
      </c>
      <c r="AC17" s="333">
        <f t="shared" si="6"/>
        <v>88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0.81481481481481477</v>
      </c>
      <c r="AM17" s="259">
        <f>IF(ISNUMBER(((NºAsuntos!I17/NºAsuntos!G17)*11)/factor_trimestre),((NºAsuntos!I17/NºAsuntos!G17)*11)/factor_trimestre," - ")</f>
        <v>12</v>
      </c>
      <c r="AN17" s="243">
        <f>IF(ISNUMBER('Resol  Asuntos'!D17/NºAsuntos!G17),'Resol  Asuntos'!D17/NºAsuntos!G17," - ")</f>
        <v>0.22727272727272727</v>
      </c>
      <c r="AO17" s="244">
        <f>IF(ISNUMBER((NºAsuntos!C17+NºAsuntos!E17)/NºAsuntos!G17),(NºAsuntos!C17+NºAsuntos!E17)/NºAsuntos!G17," - ")</f>
        <v>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1914</v>
      </c>
      <c r="G18" s="865">
        <f>SUBTOTAL(9,G15:G17)</f>
        <v>1997</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276</v>
      </c>
      <c r="X18" s="866">
        <f t="shared" si="11"/>
        <v>28</v>
      </c>
      <c r="Y18" s="867">
        <f t="shared" si="11"/>
        <v>304</v>
      </c>
      <c r="Z18" s="867">
        <f t="shared" si="11"/>
        <v>0</v>
      </c>
      <c r="AA18" s="867">
        <f t="shared" si="11"/>
        <v>2190</v>
      </c>
      <c r="AB18" s="867">
        <f t="shared" si="11"/>
        <v>67</v>
      </c>
      <c r="AC18" s="867">
        <f t="shared" si="11"/>
        <v>2257</v>
      </c>
      <c r="AD18" s="867">
        <f t="shared" si="11"/>
        <v>0</v>
      </c>
      <c r="AE18" s="871">
        <f t="shared" si="11"/>
        <v>0</v>
      </c>
      <c r="AF18" s="864">
        <f t="shared" si="11"/>
        <v>0</v>
      </c>
      <c r="AG18" s="872">
        <f t="shared" si="11"/>
        <v>0</v>
      </c>
      <c r="AH18" s="869">
        <f t="shared" si="11"/>
        <v>0</v>
      </c>
      <c r="AI18" s="864">
        <f t="shared" si="11"/>
        <v>50</v>
      </c>
      <c r="AJ18" s="866">
        <f t="shared" si="11"/>
        <v>0</v>
      </c>
      <c r="AK18" s="869">
        <f t="shared" si="11"/>
        <v>0</v>
      </c>
      <c r="AL18" s="873">
        <f>IF(ISNUMBER(NºAsuntos!G18/NºAsuntos!E18),NºAsuntos!G18/NºAsuntos!E18," - ")</f>
        <v>0.58848614072494665</v>
      </c>
      <c r="AM18" s="873">
        <f>IF(ISNUMBER(((NºAsuntos!I18/NºAsuntos!G18)*11)/factor_trimestre),((NºAsuntos!I18/NºAsuntos!G18)*11)/factor_trimestre," - ")</f>
        <v>23.804347826086957</v>
      </c>
      <c r="AN18" s="874">
        <f>IF(ISNUMBER('Resol  Asuntos'!D18/NºAsuntos!G18),'Resol  Asuntos'!D18/NºAsuntos!G18," - ")</f>
        <v>0.18115942028985507</v>
      </c>
      <c r="AO18" s="875">
        <f>IF(ISNUMBER((NºAsuntos!C18+NºAsuntos!E18)/NºAsuntos!G18),(NºAsuntos!C18+NºAsuntos!E18)/NºAsuntos!G18," - ")</f>
        <v>8.9347826086956523</v>
      </c>
      <c r="AP18" s="876" t="str">
        <f t="shared" si="2"/>
        <v xml:space="preserve"> - </v>
      </c>
      <c r="AQ18" s="876">
        <f>IF(ISNUMBER((H18-W18+K18)/(F18)),(H18-W18+K18)/(F18)," - ")</f>
        <v>-0.14420062695924765</v>
      </c>
      <c r="AR18" s="877">
        <f>IF(ISNUMBER((Datos!P18-Datos!Q18)/(Datos!R18-Datos!P18+Datos!Q18)),(Datos!P18-Datos!Q18)/(Datos!R18-Datos!P18+Datos!Q18)," - ")</f>
        <v>-0.21176470588235294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1922</v>
      </c>
      <c r="G19" s="820">
        <f t="shared" si="13"/>
        <v>2005</v>
      </c>
      <c r="H19" s="819">
        <f t="shared" si="13"/>
        <v>0</v>
      </c>
      <c r="I19" s="821">
        <f t="shared" si="13"/>
        <v>0</v>
      </c>
      <c r="J19" s="821">
        <f t="shared" si="13"/>
        <v>0</v>
      </c>
      <c r="K19" s="880">
        <f t="shared" si="13"/>
        <v>0</v>
      </c>
      <c r="L19" s="821">
        <f t="shared" si="13"/>
        <v>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279</v>
      </c>
      <c r="X19" s="820">
        <f t="shared" si="14"/>
        <v>59</v>
      </c>
      <c r="Y19" s="827">
        <f t="shared" si="14"/>
        <v>338</v>
      </c>
      <c r="Z19" s="827">
        <f t="shared" si="14"/>
        <v>0</v>
      </c>
      <c r="AA19" s="827">
        <f t="shared" si="14"/>
        <v>2200</v>
      </c>
      <c r="AB19" s="827">
        <f t="shared" si="14"/>
        <v>2381</v>
      </c>
      <c r="AC19" s="827">
        <f t="shared" si="14"/>
        <v>2267</v>
      </c>
      <c r="AD19" s="827">
        <f t="shared" si="14"/>
        <v>0</v>
      </c>
      <c r="AE19" s="829">
        <f t="shared" si="14"/>
        <v>0</v>
      </c>
      <c r="AF19" s="830">
        <f t="shared" si="14"/>
        <v>0</v>
      </c>
      <c r="AG19" s="831">
        <f t="shared" si="14"/>
        <v>0</v>
      </c>
      <c r="AH19" s="829">
        <f t="shared" si="14"/>
        <v>0</v>
      </c>
      <c r="AI19" s="819">
        <f t="shared" si="14"/>
        <v>139</v>
      </c>
      <c r="AJ19" s="819">
        <f t="shared" si="14"/>
        <v>0</v>
      </c>
      <c r="AK19" s="829">
        <f t="shared" si="14"/>
        <v>0</v>
      </c>
      <c r="AL19" s="883">
        <f>IF(ISNUMBER(NºAsuntos!G19/NºAsuntos!E19),NºAsuntos!G19/NºAsuntos!E19," - ")</f>
        <v>0.44656019656019658</v>
      </c>
      <c r="AM19" s="884">
        <f>IF(ISNUMBER(((NºAsuntos!I19/NºAsuntos!G19)*11)/factor_trimestre),((NºAsuntos!I19/NºAsuntos!G19)*11)/factor_trimestre," - ")</f>
        <v>22.394773039889959</v>
      </c>
      <c r="AN19" s="884">
        <f>IF(ISNUMBER('Resol  Asuntos'!D19/NºAsuntos!G19),'Resol  Asuntos'!D19/NºAsuntos!G19," - ")</f>
        <v>0.19119669876203577</v>
      </c>
      <c r="AO19" s="885">
        <f>IF(ISNUMBER((NºAsuntos!C19+NºAsuntos!E19)/NºAsuntos!G19),(NºAsuntos!C19+NºAsuntos!E19)/NºAsuntos!G19," - ")</f>
        <v>8.4649243466299868</v>
      </c>
      <c r="AP19" s="886" t="str">
        <f t="shared" si="2"/>
        <v xml:space="preserve"> - </v>
      </c>
      <c r="AQ19" s="887">
        <f>IF(OR(ISNUMBER(FIND("01",Criterios!A8,1)),ISNUMBER(FIND("02",Criterios!A8,1)),ISNUMBER(FIND("03",Criterios!A8,1)),ISNUMBER(FIND("04",Criterios!A8,1))),(I19-W19+K19)/(F19-K19),(H19-W19+K19)/(F19-K19))</f>
        <v>-0.14516129032258066</v>
      </c>
      <c r="AR19" s="888">
        <f>IF(ISNUMBER((Datos!P19-Datos!Q19)/(Datos!R19-Datos!P19+Datos!Q19)),(Datos!P19-Datos!Q19)/(Datos!R19-Datos!P19+Datos!Q19)," - ")</f>
        <v>7.1912013536379014E-3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1100.4296130754267</v>
      </c>
      <c r="G21" s="252">
        <f>IF(ISNUMBER(STDEV(G8:G18)),STDEV(G8:G18),"-")</f>
        <v>1053.8503214403836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140.46458628423036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37.850583438920289</v>
      </c>
      <c r="AJ21" s="251">
        <f t="shared" si="18"/>
        <v>0</v>
      </c>
      <c r="AK21" s="253">
        <f t="shared" si="18"/>
        <v>0</v>
      </c>
      <c r="AL21" s="248">
        <f t="shared" si="18"/>
        <v>0.15890908014990948</v>
      </c>
      <c r="AM21" s="249">
        <f t="shared" si="18"/>
        <v>6.3284284992388722</v>
      </c>
      <c r="AN21" s="249">
        <f t="shared" si="18"/>
        <v>0.19319024069117896</v>
      </c>
      <c r="AO21" s="250">
        <f t="shared" si="18"/>
        <v>2.109476166412958</v>
      </c>
      <c r="AP21" s="290" t="str">
        <f t="shared" si="18"/>
        <v>-</v>
      </c>
      <c r="AQ21" s="291">
        <f t="shared" si="18"/>
        <v>0.16319980177071966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tLRMFunlZ4dGpLpZWfnYe9aQkI1hu/F+w5LDqVcalY9lc+wC4dnwebw8A0ZsbGyP2qQvcZpLuyoBMQPmeRWA==" saltValue="VVE8YD00E7CqSmdmieUK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VALVERDE DEL CAMINO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-0.52941176470588236</v>
      </c>
      <c r="E10" s="347">
        <f>IF(ISNUMBER((Datos!J10-Datos!T10)/Datos!T10),(Datos!J10-Datos!T10)/Datos!T10," - ")</f>
        <v>-0.16666666666666666</v>
      </c>
      <c r="F10" s="347">
        <f>IF(ISNUMBER((Datos!K10-Datos!U10)/Datos!U10),(Datos!K10-Datos!U10)/Datos!U10," - ")</f>
        <v>-0.76923076923076927</v>
      </c>
      <c r="G10" s="348">
        <f>IF(ISNUMBER((Datos!L10-Datos!V10)/Datos!V10),(Datos!L10-Datos!V10)/Datos!V10," - ")</f>
        <v>0</v>
      </c>
      <c r="H10" s="229">
        <f>IF(ISNUMBER((Datos!M10-Datos!W10)/Datos!W10),(Datos!M10-Datos!W10)/Datos!W10," - ")</f>
        <v>0</v>
      </c>
      <c r="I10" s="349">
        <f>IF(ISNUMBER((Tasas!C10-Datos!BE10)/Datos!BE10),(Tasas!C10-Datos!BE10)/Datos!BE10," - ")</f>
        <v>3.3333333333333335</v>
      </c>
      <c r="J10" s="348">
        <f>IF(ISNUMBER((Tasas!D10-Datos!BF10)/Datos!BF10),(Tasas!D10-Datos!BF10)/Datos!BF10," - ")</f>
        <v>3.333333333333333</v>
      </c>
      <c r="K10" s="350">
        <f>IF(ISNUMBER((Tasas!E10-Datos!BG10)/Datos!BG10),(Tasas!E10-Datos!BG10)/Datos!BG10," - ")</f>
        <v>1.4492753623188406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-2.247191011235955E-2</v>
      </c>
      <c r="I12" s="349">
        <f>IF(ISNUMBER((Tasas!C12-Datos!BE12)/Datos!BE12),(Tasas!C12-Datos!BE12)/Datos!BE12," - ")</f>
        <v>1.718462511499546E-2</v>
      </c>
      <c r="J12" s="348">
        <f>IF(ISNUMBER((Tasas!D12-Datos!BF12)/Datos!BF12),(Tasas!D12-Datos!BF12)/Datos!BF12," - ")</f>
        <v>-0.41550682773109238</v>
      </c>
      <c r="K12" s="350">
        <f>IF(ISNUMBER((Tasas!E12-Datos!BG12)/Datos!BG12),(Tasas!E12-Datos!BG12)/Datos!BG12," - ")</f>
        <v>1.5058192261184945E-2</v>
      </c>
      <c r="M12" t="e">
        <f>IF(Monitorios="SI",Datos!CE12,0)</f>
        <v>#REF!</v>
      </c>
      <c r="N12" t="e">
        <f>IF(Monitorios="SI",Datos!CF12,0)</f>
        <v>#REF!</v>
      </c>
      <c r="O12" t="e">
        <f>IF(Monitorios="SI",Datos!CG12,0)</f>
        <v>#REF!</v>
      </c>
      <c r="P12" t="e">
        <f>IF(Monitorios="SI",Datos!CH12,0)</f>
        <v>#REF!</v>
      </c>
      <c r="Q12">
        <f>IF(J_V="SI",0,Datos!AG12)</f>
        <v>69</v>
      </c>
      <c r="R12">
        <f>IF(J_V="SI",0,Datos!AH12)</f>
        <v>12</v>
      </c>
      <c r="S12">
        <f>IF(J_V="SI",0,Datos!AI12)</f>
        <v>16</v>
      </c>
      <c r="T12">
        <f>IF(J_V="SI",0,Datos!AJ12)</f>
        <v>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-2.197802197802198E-2</v>
      </c>
      <c r="I13" s="356">
        <f>IF(ISNUMBER((Tasas!C13-Datos!BE13)/Datos!BE13),(Tasas!C13-Datos!BE13)/Datos!BE13," - ")</f>
        <v>5.1631295533734578E-2</v>
      </c>
      <c r="J13" s="354">
        <f>IF(ISNUMBER((Tasas!D13-Datos!BF13)/Datos!BF13),(Tasas!D13-Datos!BF13)/Datos!BF13," - ")</f>
        <v>-0.39280231963158796</v>
      </c>
      <c r="K13" s="357">
        <f>IF(ISNUMBER((Tasas!E13-Datos!BG13)/Datos!BG13),(Tasas!E13-Datos!BG13)/Datos!BG13," - ")</f>
        <v>4.503304690322537E-2</v>
      </c>
      <c r="M13" t="e">
        <f>IF(Monitorios="SI",Datos!CE13,0)</f>
        <v>#REF!</v>
      </c>
      <c r="N13" t="e">
        <f>IF(Monitorios="SI",Datos!CF13,0)</f>
        <v>#REF!</v>
      </c>
      <c r="O13" t="e">
        <f>IF(Monitorios="SI",Datos!CG13,0)</f>
        <v>#REF!</v>
      </c>
      <c r="P13" t="e">
        <f>IF(Monitorios="SI",Datos!CH13,0)</f>
        <v>#REF!</v>
      </c>
      <c r="Q13">
        <f>IF(J_V="SI",0,Datos!AG13)</f>
        <v>69</v>
      </c>
      <c r="R13">
        <f>IF(J_V="SI",0,Datos!AH13)</f>
        <v>12</v>
      </c>
      <c r="S13">
        <f>IF(J_V="SI",0,Datos!AI13)</f>
        <v>16</v>
      </c>
      <c r="T13">
        <f>IF(J_V="SI",0,Datos!AJ13)</f>
        <v>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0.42622950819672129</v>
      </c>
      <c r="E16" s="347">
        <f>IF(ISNUMBER(
   IF(D_I="SI",(Datos!J16-Datos!T16)/Datos!T16,(Datos!J16+Datos!AD16-(Datos!T16+Datos!AL16))/(Datos!T16+Datos!AL16))
     ),IF(D_I="SI",(Datos!J16-Datos!T16)/Datos!T16,(Datos!J16+Datos!AD16-(Datos!T16+Datos!AL16))/(Datos!T16+Datos!AL16))," - ")</f>
        <v>-0.38095238095238093</v>
      </c>
      <c r="F16" s="347">
        <f>IF(ISNUMBER(
   IF(D_I="SI",(Datos!K16-Datos!U16)/Datos!U16,(Datos!K16+Datos!AE16-(Datos!U16+Datos!AM16))/(Datos!U16+Datos!AM16))
     ),IF(D_I="SI",(Datos!K16-Datos!U16)/Datos!U16,(Datos!K16+Datos!AE16-(Datos!U16+Datos!AM16))/(Datos!U16+Datos!AM16))," - ")</f>
        <v>-0.59424920127795522</v>
      </c>
      <c r="G16" s="348">
        <f>IF(ISNUMBER(
   IF(D_I="SI",(Datos!L16-Datos!V16)/Datos!V16,(Datos!L16+Datos!AF16-(Datos!V16+Datos!AN16))/(Datos!V16+Datos!AN16))
     ),IF(D_I="SI",(Datos!L16-Datos!V16)/Datos!V16,(Datos!L16+Datos!AF16-(Datos!V16+Datos!AN16))/(Datos!V16+Datos!AN16))," - ")</f>
        <v>0.46993006993006992</v>
      </c>
      <c r="H16" s="229">
        <f>IF(ISNUMBER((Datos!M16-Datos!W16)/Datos!W16),(Datos!M16-Datos!W16)/Datos!W16," - ")</f>
        <v>-0.13461538461538461</v>
      </c>
      <c r="I16" s="349">
        <f>IF(ISNUMBER((Tasas!C16-Datos!BE16)/Datos!BE16),(Tasas!C16-Datos!BE16)/Datos!BE16," - ")</f>
        <v>2.6227410384890697</v>
      </c>
      <c r="J16" s="348">
        <f>IF(ISNUMBER((Tasas!D16-Datos!BF16)/Datos!BF16),(Tasas!D16-Datos!BF16)/Datos!BF16," - ")</f>
        <v>1.1327983040581466</v>
      </c>
      <c r="K16" s="350">
        <f>IF(ISNUMBER((Tasas!E16-Datos!BG16)/Datos!BG16),(Tasas!E16-Datos!BG16)/Datos!BG16," - ")</f>
        <v>1.824182726186464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0.59615384615384615</v>
      </c>
      <c r="E17" s="347">
        <f>IF(ISNUMBER(
   IF(D_I="SI",(Datos!J17-Datos!T17)/Datos!T17,(Datos!J17+Datos!AD17-(Datos!T17+Datos!AL17))/(Datos!T17+Datos!AL17))
     ),IF(D_I="SI",(Datos!J17-Datos!T17)/Datos!T17,(Datos!J17+Datos!AD17-(Datos!T17+Datos!AL17))/(Datos!T17+Datos!AL17))," - ")</f>
        <v>-0.25</v>
      </c>
      <c r="F17" s="347">
        <f>IF(ISNUMBER(
   IF(D_I="SI",(Datos!K17-Datos!U17)/Datos!U17,(Datos!K17+Datos!AE17-(Datos!U17+Datos!AM17))/(Datos!U17+Datos!AM17))
     ),IF(D_I="SI",(Datos!K17-Datos!U17)/Datos!U17,(Datos!K17+Datos!AE17-(Datos!U17+Datos!AM17))/(Datos!U17+Datos!AM17))," - ")</f>
        <v>-0.21428571428571427</v>
      </c>
      <c r="G17" s="348">
        <f>IF(ISNUMBER(
   IF(D_I="SI",(Datos!L17-Datos!V17)/Datos!V17,(Datos!L17+Datos!AF17-(Datos!V17+Datos!AN17))/(Datos!V17+Datos!AN17))
     ),IF(D_I="SI",(Datos!L17-Datos!V17)/Datos!V17,(Datos!L17+Datos!AF17-(Datos!V17+Datos!AN17))/(Datos!V17+Datos!AN17))," - ")</f>
        <v>0.41935483870967744</v>
      </c>
      <c r="H17" s="229">
        <f>IF(ISNUMBER((Datos!M17-Datos!W17)/Datos!W17),(Datos!M17-Datos!W17)/Datos!W17," - ")</f>
        <v>-0.16666666666666666</v>
      </c>
      <c r="I17" s="349">
        <f>IF(ISNUMBER((Tasas!C17-Datos!BE17)/Datos!BE17),(Tasas!C17-Datos!BE17)/Datos!BE17," - ")</f>
        <v>0.80645161290322576</v>
      </c>
      <c r="J17" s="348">
        <f>IF(ISNUMBER((Tasas!D17-Datos!BF17)/Datos!BF17),(Tasas!D17-Datos!BF17)/Datos!BF17," - ")</f>
        <v>6.0606060606060629E-2</v>
      </c>
      <c r="K17" s="350">
        <f>IF(ISNUMBER((Tasas!E17-Datos!BG17)/Datos!BG17),(Tasas!E17-Datos!BG17)/Datos!BG17," - ")</f>
        <v>0.59090909090909094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0.43256814921090386</v>
      </c>
      <c r="E18" s="353">
        <f>IF(ISNUMBER(
   IF(D_I="SI",(Datos!J18-Datos!T18)/Datos!T18,(Datos!J18+Datos!AD18-(Datos!T18+Datos!AL18))/(Datos!T18+Datos!AL18))
     ),IF(D_I="SI",(Datos!J18-Datos!T18)/Datos!T18,(Datos!J18+Datos!AD18-(Datos!T18+Datos!AL18))/(Datos!T18+Datos!AL18))," - ")</f>
        <v>-0.37466666666666665</v>
      </c>
      <c r="F18" s="353">
        <f>IF(ISNUMBER(
   IF(D_I="SI",(Datos!K18-Datos!U18)/Datos!U18,(Datos!K18+Datos!AE18-(Datos!U18+Datos!AM18))/(Datos!U18+Datos!AM18))
     ),IF(D_I="SI",(Datos!K18-Datos!U18)/Datos!U18,(Datos!K18+Datos!AE18-(Datos!U18+Datos!AM18))/(Datos!U18+Datos!AM18))," - ")</f>
        <v>-0.57798165137614677</v>
      </c>
      <c r="G18" s="354">
        <f>IF(ISNUMBER(
   IF(D_I="SI",(Datos!L18-Datos!V18)/Datos!V18,(Datos!L18+Datos!AF18-(Datos!V18+Datos!AN18))/(Datos!V18+Datos!AN18))
     ),IF(D_I="SI",(Datos!L18-Datos!V18)/Datos!V18,(Datos!L18+Datos!AF18-(Datos!V18+Datos!AN18))/(Datos!V18+Datos!AN18))," - ")</f>
        <v>0.46782841823056298</v>
      </c>
      <c r="H18" s="355">
        <f>IF(ISNUMBER((Datos!M18-Datos!W18)/Datos!W18),(Datos!M18-Datos!W18)/Datos!W18," - ")</f>
        <v>-0.13793103448275862</v>
      </c>
      <c r="I18" s="356">
        <f>IF(ISNUMBER((Tasas!C18-Datos!BE18)/Datos!BE18),(Tasas!C18-Datos!BE18)/Datos!BE18," - ")</f>
        <v>2.4781151649376385</v>
      </c>
      <c r="J18" s="354">
        <f>IF(ISNUMBER((Tasas!D18-Datos!BF18)/Datos!BF18),(Tasas!D18-Datos!BF18)/Datos!BF18," - ")</f>
        <v>1.042728635682159</v>
      </c>
      <c r="K18" s="357">
        <f>IF(ISNUMBER((Tasas!E18-Datos!BG18)/Datos!BG18),(Tasas!E18-Datos!BG18)/Datos!BG18," - ")</f>
        <v>1.725442083062946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0.31150391190959142</v>
      </c>
      <c r="E19" s="362">
        <f>IF(ISNUMBER(
   IF(J_V="SI",(Datos!J19-Datos!T19)/Datos!T19,(Datos!J19+Datos!Z19-(Datos!T19+Datos!AH19))/(Datos!T19+Datos!AH19))
     ),IF(J_V="SI",(Datos!J19-Datos!T19)/Datos!T19,(Datos!J19+Datos!Z19-(Datos!T19+Datos!AH19))/(Datos!T19+Datos!AH19))," - ")</f>
        <v>0.36006683375104426</v>
      </c>
      <c r="F19" s="362">
        <f>IF(ISNUMBER(
   IF(J_V="SI",(Datos!K19-Datos!U19)/Datos!U19,(Datos!K19+Datos!AA19-(Datos!U19+Datos!AI19))/(Datos!U19+Datos!AI19))
     ),IF(J_V="SI",(Datos!K19-Datos!U19)/Datos!U19,(Datos!K19+Datos!AA19-(Datos!U19+Datos!AI19))/(Datos!U19+Datos!AI19))," - ")</f>
        <v>-0.25359342915811089</v>
      </c>
      <c r="G19" s="363">
        <f>IF(ISNUMBER(
   IF(J_V="SI",(Datos!L19-Datos!V19)/Datos!V19,(Datos!L19+Datos!AB19-(Datos!V19+Datos!AJ19))/(Datos!V19+Datos!AJ19))
     ),IF(J_V="SI",(Datos!L19-Datos!V19)/Datos!V19,(Datos!L19+Datos!AB19-(Datos!V19+Datos!AJ19))/(Datos!V19+Datos!AJ19))," - ")</f>
        <v>0.47633297062023938</v>
      </c>
      <c r="H19" s="364">
        <f>IF(ISNUMBER((Datos!M19-Datos!W19)/Datos!W19),(Datos!M19-Datos!W19)/Datos!W19," - ")</f>
        <v>-6.7114093959731544E-2</v>
      </c>
      <c r="I19" s="361">
        <f>IF(ISNUMBER((Tasas!C19-Datos!BE19)/Datos!BE19),(Tasas!C19-Datos!BE19)/Datos!BE19," - ")</f>
        <v>0.97792065114733573</v>
      </c>
      <c r="J19" s="362">
        <f>IF(ISNUMBER((Tasas!D19-Datos!BF19)/Datos!BF19),(Tasas!D19-Datos!BF19)/Datos!BF19," - ")</f>
        <v>0.14954064564335087</v>
      </c>
      <c r="K19" s="363">
        <f>IF(ISNUMBER((Tasas!E19-Datos!BG19)/Datos!BG19),(Tasas!E19-Datos!BG19)/Datos!BG19," - ")</f>
        <v>0.77384602272323721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0.51325986602375462</v>
      </c>
      <c r="E21" s="277">
        <f t="shared" si="1"/>
        <v>0.10362457311948282</v>
      </c>
      <c r="F21" s="277">
        <f t="shared" si="1"/>
        <v>0.2331077017701198</v>
      </c>
      <c r="G21" s="278">
        <f t="shared" si="1"/>
        <v>0.22738882615874811</v>
      </c>
      <c r="H21" s="284">
        <f t="shared" si="1"/>
        <v>7.3380857013859088E-2</v>
      </c>
      <c r="I21" s="276">
        <f t="shared" si="1"/>
        <v>1.4380493676335164</v>
      </c>
      <c r="J21" s="277">
        <f t="shared" si="1"/>
        <v>1.4166252742654257</v>
      </c>
      <c r="K21" s="278">
        <f t="shared" si="1"/>
        <v>0.8290224453886279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DQFJbUx76Vewq2Vgtk/IpeWOtiqIyyEMkd0XigGX9dn/3S0yqmlhK60cNeYtXnbS1fYjOnE25B7aYKEif1xNw==" saltValue="EGH+TrvvUlM748jsCQcG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